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iew" sheetId="1" r:id="rId5"/>
    <sheet state="visible" name="Comparison" sheetId="2" r:id="rId6"/>
    <sheet state="visible" name="Drivers" sheetId="3" r:id="rId7"/>
    <sheet state="visible" name="Summary" sheetId="4" r:id="rId8"/>
    <sheet state="visible" name="Live_Levers" sheetId="5" r:id="rId9"/>
    <sheet state="visible" name="Scenarios" sheetId="6" r:id="rId10"/>
    <sheet state="visible" name="Brief_Programme" sheetId="7" r:id="rId11"/>
    <sheet state="visible" name="Monthly_A" sheetId="8" r:id="rId12"/>
    <sheet state="visible" name="Monthly_B" sheetId="9" r:id="rId13"/>
    <sheet state="visible" name="Checks" sheetId="10" r:id="rId14"/>
    <sheet state="visible" name="Sources" sheetId="11" r:id="rId15"/>
    <sheet state="visible" name="Setup" sheetId="12" r:id="rId16"/>
    <sheet state="hidden" name="SnapshotInputs" sheetId="13" r:id="rId17"/>
  </sheets>
  <definedNames>
    <definedName hidden="1" localSheetId="1" name="_xlnm._FilterDatabase">Comparison!$A$1:$D$19</definedName>
    <definedName hidden="1" localSheetId="2" name="_xlnm._FilterDatabase">Drivers!$A$1:$E$47</definedName>
    <definedName hidden="1" localSheetId="3" name="_xlnm._FilterDatabase">Summary!$A$1:$D$53</definedName>
    <definedName hidden="1" localSheetId="4" name="_xlnm._FilterDatabase">Live_Levers!$A$1:$F$26</definedName>
    <definedName hidden="1" localSheetId="5" name="_xlnm._FilterDatabase">Scenarios!$A$1:$I$14</definedName>
    <definedName hidden="1" localSheetId="7" name="_xlnm._FilterDatabase">Monthly_A!$A$1:$AG$242</definedName>
    <definedName hidden="1" localSheetId="8" name="_xlnm._FilterDatabase">Monthly_B!$A$1:$AG$242</definedName>
  </definedNames>
  <calcPr/>
</workbook>
</file>

<file path=xl/sharedStrings.xml><?xml version="1.0" encoding="utf-8"?>
<sst xmlns="http://schemas.openxmlformats.org/spreadsheetml/2006/main" count="762" uniqueCount="551">
  <si>
    <t>Haarties | Expert-built feasibility model2</t>
  </si>
  <si>
    <t>DIRECTIONAL - no registered model</t>
  </si>
  <si>
    <t>Decision owner</t>
  </si>
  <si>
    <t>Mo and partners. Public availability is not investment approval.</t>
  </si>
  <si>
    <t>Recommendation</t>
  </si>
  <si>
    <t>Do not commit to either tested own-build case. Establish operator-led/ground-lease terms and independently viable phases; no unpriced alternative is a proven winner.</t>
  </si>
  <si>
    <t>What is new</t>
  </si>
  <si>
    <t>A fresh formula-based workbook, dated nominal cash flow and funding; same-scope control plus separately costed24-key phase. Original workbook preserved.</t>
  </si>
  <si>
    <t>How to compare</t>
  </si>
  <si>
    <t>Comparison isolates unchanged starting economics from timing/method changes. Do not treat a changed yield label as improved feasibility.</t>
  </si>
  <si>
    <t>A cost exfinance/land/VAT</t>
  </si>
  <si>
    <t>Measure</t>
  </si>
  <si>
    <t>Original model1 frozen8Sep</t>
  </si>
  <si>
    <t>Expert A: same40/1000</t>
  </si>
  <si>
    <t>What changed / comparable basis</t>
  </si>
  <si>
    <t>Status</t>
  </si>
  <si>
    <t>DIRECTIONAL - unregistered</t>
  </si>
  <si>
    <t>Neither skill use nor arithmetic makes inputs professionally verified</t>
  </si>
  <si>
    <t>Mix</t>
  </si>
  <si>
    <t>Driver</t>
  </si>
  <si>
    <t>40keys +1000m² officeGLA</t>
  </si>
  <si>
    <t>A: 40 keys + 1000 m²</t>
  </si>
  <si>
    <t>Held constant to isolate methodology</t>
  </si>
  <si>
    <t>B: 24 keys + 600 m²</t>
  </si>
  <si>
    <t>Starting prices/demand</t>
  </si>
  <si>
    <t>Unit</t>
  </si>
  <si>
    <t>Hotel R1.8m/key;ADR1500/45%;office100/85%</t>
  </si>
  <si>
    <t>Source / assumption / required check</t>
  </si>
  <si>
    <t>Same starting assumptions</t>
  </si>
  <si>
    <t>Not new market evidence</t>
  </si>
  <si>
    <t>Keys</t>
  </si>
  <si>
    <t>Prefinance cost</t>
  </si>
  <si>
    <t>keys</t>
  </si>
  <si>
    <t>Brief option A; B is its 24-key variant, no operator scale confirmed Original Inputs!B2.</t>
  </si>
  <si>
    <t>OfficeGLA</t>
  </si>
  <si>
    <t>m²</t>
  </si>
  <si>
    <t>A same scope; B 600m² is new illustrative first-phase scope, not pre-let Original Inputs!B4.</t>
  </si>
  <si>
    <t>OfficeGross</t>
  </si>
  <si>
    <t>A nominal full-ramp NOI</t>
  </si>
  <si>
    <t>GFA / GLA</t>
  </si>
  <si>
    <t>Architect hypothesis, not measured Original Inputs!B5.</t>
  </si>
  <si>
    <t>HotelGFA</t>
  </si>
  <si>
    <t>GFA m² / key</t>
  </si>
  <si>
    <t>A nominal full-ramp yield</t>
  </si>
  <si>
    <t>Includes common/back-of-house; not room size Original Inputs!B3.</t>
  </si>
  <si>
    <t>HotelRate</t>
  </si>
  <si>
    <t>R / key</t>
  </si>
  <si>
    <t>Sep2026 working allowance incl FF&amp;E, calibrated to Jul2024 AECOM, not QS quote Original Inputs!B6.</t>
  </si>
  <si>
    <t>OfficeRate</t>
  </si>
  <si>
    <t>A constant-price yield</t>
  </si>
  <si>
    <t>R / GFA m²</t>
  </si>
  <si>
    <t>Sep2026 working allowance, historical benchmark not QS quote Original Inputs!B7.</t>
  </si>
  <si>
    <t>Bays</t>
  </si>
  <si>
    <t>B cost exfinance/land/VAT</t>
  </si>
  <si>
    <t>bays</t>
  </si>
  <si>
    <t>B 80 =36 hotel+24 office+20 visitor test; planner/traffic to certify Original Inputs!B8.</t>
  </si>
  <si>
    <t>BayArea</t>
  </si>
  <si>
    <t>B nominal full-ramp yield</t>
  </si>
  <si>
    <t>m² / bay</t>
  </si>
  <si>
    <t>On-grade area including aisles; no shared-parking deduction Original Inputs!B9.</t>
  </si>
  <si>
    <t>Both exland/VAT; model1 midpoint escalation vs actual monthly cost-date escalation and fee timing</t>
  </si>
  <si>
    <t>ParkingRate</t>
  </si>
  <si>
    <t>Metric</t>
  </si>
  <si>
    <t>Main constraint</t>
  </si>
  <si>
    <t>Constant-price project NOI</t>
  </si>
  <si>
    <t>R / m²</t>
  </si>
  <si>
    <t>Revenue is too low relative to the tested building/common cost. Smaller scale does not automatically rescue common infrastructure or fixed staffing.</t>
  </si>
  <si>
    <t>Directional cost, scope excludes non-parking access road Original Inputs!B10.</t>
  </si>
  <si>
    <t>Input discipline</t>
  </si>
  <si>
    <t>Civils</t>
  </si>
  <si>
    <t>Blue driver cells are hypotheses or existing test inputs. Source-qualified current rights, buildable area, achieved rents/trading,QS/engineering/tax/lender terms still missing.</t>
  </si>
  <si>
    <t>A: control40/1000</t>
  </si>
  <si>
    <t>Timing</t>
  </si>
  <si>
    <t>Current price-date view is separate from nominaldated view;4% revenue and fixedcost growth are NEW assumptions with downside tests.</t>
  </si>
  <si>
    <t>R</t>
  </si>
  <si>
    <t>B: standalone24/600</t>
  </si>
  <si>
    <t>Finance</t>
  </si>
  <si>
    <t>UNQUOTED; retained in full for smaller first phase pending engineering Original Inputs!B11.</t>
  </si>
  <si>
    <t>Meaning / limitation</t>
  </si>
  <si>
    <t>Default principal is income-capped, not the failed60%LTC amount; construction interest is equity-paid monthly, opening ramp shortfalls remain in cashflow.</t>
  </si>
  <si>
    <t>Electrical</t>
  </si>
  <si>
    <t>Direct like-for-like income match</t>
  </si>
  <si>
    <t>IRR boundary</t>
  </si>
  <si>
    <t>Gross land across P4/P6/P7 ha</t>
  </si>
  <si>
    <t>Constant-price cost diagnostic</t>
  </si>
  <si>
    <t>Illustrative10operating-year marked-value XIRR with unverified10%cap/2%realisation costs; no sale instruction, residual undeveloped land value, income tax or full VAT model.</t>
  </si>
  <si>
    <t>VAT and land</t>
  </si>
  <si>
    <t>UNQUOTED; retained in full for smaller phase; no subsidy Original Inputs!B12.</t>
  </si>
  <si>
    <t>Returns exVAT/tax/land. GrossVAT reserve and separateR20m landopportunity stress are visible, not resolved assumptions.</t>
  </si>
  <si>
    <t>PublicRealm</t>
  </si>
  <si>
    <t>Scenario sheets</t>
  </si>
  <si>
    <t>Scenarios are verified static calculation snapshots. Drivers and both monthly models are editable/formula-based; scenario snapshots must be regenerated after edits.</t>
  </si>
  <si>
    <t>Review quality</t>
  </si>
  <si>
    <t>Sequential non-independent review, spreadsheet outputs crosschecked against independentPython implementation. Skill use is not professional sign-off.</t>
  </si>
  <si>
    <t>UNQUOTED on-site only; retained in full; no dam-adjoining land entitlement Original Inputs!B13.</t>
  </si>
  <si>
    <t>Scheme gates</t>
  </si>
  <si>
    <t>Same constant-money cost for A; model1 original headline was not this denominator</t>
  </si>
  <si>
    <t>FeeRate</t>
  </si>
  <si>
    <t>Current zoning/conditions,P4 route,floodline/dam/title/servitudes,road/substation/services,environment,operator demand,QSbudget,tax/lender terms.</t>
  </si>
  <si>
    <t>No subsidy</t>
  </si>
  <si>
    <t>Constant-price yield diagnostic</t>
  </si>
  <si>
    <t>No Council-authorised or other subsidy assumed.</t>
  </si>
  <si>
    <t>Programme and architect brief</t>
  </si>
  <si>
    <t>fraction</t>
  </si>
  <si>
    <t>See Brief_Programme and linked standalone architect Doc. No new consultant appointment or changed client mandate.</t>
  </si>
  <si>
    <t>Full-scheme fee allowance; reconcile paid/remaining Akoma scope and diagnostic work Original Inputs!B14.</t>
  </si>
  <si>
    <t>Live sensitivities</t>
  </si>
  <si>
    <t>Live_Levers recalculates with Drivers. Scenarios are labelled snapshots and automatically flag stale if Drivers change.</t>
  </si>
  <si>
    <t>Contingency</t>
  </si>
  <si>
    <t>Once on hard cost plus fees; not cost savings or verified abnormal-works ceiling Original Inputs!B15.</t>
  </si>
  <si>
    <t>Diagnostics</t>
  </si>
  <si>
    <t>Identical starting economic case; differences are not value creation</t>
  </si>
  <si>
    <t>Published mixed-date headline yield</t>
  </si>
  <si>
    <t>Unquoted studies envelope; spread over first two months; no instruction to spend Original Inputs!B16.</t>
  </si>
  <si>
    <t>Not used as new base</t>
  </si>
  <si>
    <t>Preopening</t>
  </si>
  <si>
    <t>Model1 untrended NOI / future escalated cost; do not compare as equivalent real return</t>
  </si>
  <si>
    <t>Nominal stabilised NOI</t>
  </si>
  <si>
    <t>Not trended</t>
  </si>
  <si>
    <t>Mobilisation/float not FF&amp;E; conservatively treated as deployed cash, no later recovery Original Inputs!B17.</t>
  </si>
  <si>
    <t>Holding</t>
  </si>
  <si>
    <t>Gross SG area, not net developable land or confirmed current title; P4 excluded from priced uses</t>
  </si>
  <si>
    <t>R / month</t>
  </si>
  <si>
    <t>Hotel GFA m²</t>
  </si>
  <si>
    <t>Security/rates/admin until opening; separate operating estate costs thereafter Original Inputs!B21.</t>
  </si>
  <si>
    <t>New4% revenue/fixed-cost growth to month54, explicit sensitivity not forecast</t>
  </si>
  <si>
    <t>PreMonths</t>
  </si>
  <si>
    <t>Nominal stabilised yield</t>
  </si>
  <si>
    <t>months</t>
  </si>
  <si>
    <t>Not calculated on aligned basis</t>
  </si>
  <si>
    <t>Includes 8-week programme; not municipal forecast Original Inputs!B19.</t>
  </si>
  <si>
    <t>BuildMonths</t>
  </si>
  <si>
    <t>Retained for B; no assumed time saving without contractor/approvals evidence Original Inputs!B20.</t>
  </si>
  <si>
    <t>New run-rate and dated-cost basis; not an IRR</t>
  </si>
  <si>
    <t>60%LTC DSCR</t>
  </si>
  <si>
    <t>CapGrowth</t>
  </si>
  <si>
    <t>fraction / year</t>
  </si>
  <si>
    <t>Assumed, now applied to actual scheduled cost dates Original Inputs!B18.</t>
  </si>
  <si>
    <t>Live levers: A yield on nominal cost</t>
  </si>
  <si>
    <t>RevGrowth</t>
  </si>
  <si>
    <t>Both show same hypothetical leverage; new NOI and cost dates differ</t>
  </si>
  <si>
    <t>ADR1200</t>
  </si>
  <si>
    <t>Selected debt convention</t>
  </si>
  <si>
    <t>ADR1500</t>
  </si>
  <si>
    <t>60%LTC fails; income-supported separate</t>
  </si>
  <si>
    <t>NEW explicit nominal sensitivity, not a rent/ADR forecast; uniform input editable separately from costs</t>
  </si>
  <si>
    <t>ADR1800</t>
  </si>
  <si>
    <t>MIN(LTC limit,income-supported debt)</t>
  </si>
  <si>
    <t>OpGrowth</t>
  </si>
  <si>
    <t>ADR2100</t>
  </si>
  <si>
    <t>New primary cash flow uses income-capped principal; does not claim the60% loan became viable</t>
  </si>
  <si>
    <t>ADR2400</t>
  </si>
  <si>
    <t>Selected debt principal</t>
  </si>
  <si>
    <t>Basis</t>
  </si>
  <si>
    <t>NEW nominal fixed-cost/holding growth hypothesis; not index evidence</t>
  </si>
  <si>
    <t>Starting ADR/occupancy varied; current nominal growth, fixed cost, office economics and dated capex retained. Not achieved demand.</t>
  </si>
  <si>
    <t>ADR</t>
  </si>
  <si>
    <t>Office GFA m²</t>
  </si>
  <si>
    <t>R / room-night ex VAT</t>
  </si>
  <si>
    <t>Starting Sep2026 price, no achieved trading/operator support Original Inputs!B22.</t>
  </si>
  <si>
    <t>Both income-cap screen; new price growth changes future NOI</t>
  </si>
  <si>
    <t>HotelOcc</t>
  </si>
  <si>
    <t>Construction interest method</t>
  </si>
  <si>
    <t>Occupancy / ADR</t>
  </si>
  <si>
    <t>Simple50%average balance</t>
  </si>
  <si>
    <t>Monthly S-curve draw and equity-paid interest</t>
  </si>
  <si>
    <t>Different finance methodology; no preconstruction borrowing or capitalised interest</t>
  </si>
  <si>
    <t>Project XIRR exland/VAT/tax</t>
  </si>
  <si>
    <t>Not calculated</t>
  </si>
  <si>
    <t>Same demand hypothesis both cases; not a forecast Original Inputs!B23.</t>
  </si>
  <si>
    <t>Ancillary</t>
  </si>
  <si>
    <t>New speculative terminal-value diagnostic, no approved valuation or disposal plan</t>
  </si>
  <si>
    <t>Parking reservation m²</t>
  </si>
  <si>
    <t>Levered XIRR exland/VAT/tax</t>
  </si>
  <si>
    <t>fraction of rooms</t>
  </si>
  <si>
    <t>Unverified other hotel revenue, no tenant guarantee Original Inputs!B24.</t>
  </si>
  <si>
    <t>HotelVariable</t>
  </si>
  <si>
    <t>fraction of hotel revenue</t>
  </si>
  <si>
    <t>Includes distribution/variable operations; operator to validate Original Inputs!B25.</t>
  </si>
  <si>
    <t>Selected income-capped loan and terminal debt repayment</t>
  </si>
  <si>
    <t>HotelFixed</t>
  </si>
  <si>
    <t>Decision</t>
  </si>
  <si>
    <t>Do not commit to tested own-build mix</t>
  </si>
  <si>
    <t>Reassess capital/demand/operating proposition</t>
  </si>
  <si>
    <t>Report does not label unpriced operator/residential alternatives viable</t>
  </si>
  <si>
    <t>R / year</t>
  </si>
  <si>
    <t>Original workbook</t>
  </si>
  <si>
    <t>B retains full fixed budget until staffing model proves savings; explicit 60%-budget sensitivity is separate Original Inputs!B26.</t>
  </si>
  <si>
    <t>https://docs.google.com/spreadsheets/d/1BPfmcjqhA_32Y1-ylacYECtx1OECKiew-7ApG3SPN30/edit</t>
  </si>
  <si>
    <t>Hotel hard cost at price date</t>
  </si>
  <si>
    <t>Unchanged</t>
  </si>
  <si>
    <t>Replacement</t>
  </si>
  <si>
    <t>Frozen readback preserves comparison, not a live linked model</t>
  </si>
  <si>
    <t>FF&amp;E recurring replacement reserve after operating costs Original Inputs!B27.</t>
  </si>
  <si>
    <t>OfficeRent</t>
  </si>
  <si>
    <t>Office hard cost at price date</t>
  </si>
  <si>
    <t>R / GLA m² / month</t>
  </si>
  <si>
    <t>Unproven new-build premium to R74.26 asking comparator, not achieved Original Inputs!B28.</t>
  </si>
  <si>
    <t>OfficeOcc</t>
  </si>
  <si>
    <t>Paid stabilised occupancy hypothesis, not signed leases Original Inputs!B29.</t>
  </si>
  <si>
    <t>OfficeOpex</t>
  </si>
  <si>
    <t>fraction of collected rent</t>
  </si>
  <si>
    <t>No additional recoveries assumed Original Inputs!B30.</t>
  </si>
  <si>
    <t>Estate</t>
  </si>
  <si>
    <t>Residual estate budget; retained for B; remove overlaps only with evidence Original Inputs!B31.</t>
  </si>
  <si>
    <t>YieldHurdle</t>
  </si>
  <si>
    <t>Mo to choose; 10% provisional development screen, not evidence of market cap rate Original Inputs!B32.</t>
  </si>
  <si>
    <t>LTC</t>
  </si>
  <si>
    <t>60% comparative screen, not an offer or committed debt Original Inputs!B34.</t>
  </si>
  <si>
    <t>Rate</t>
  </si>
  <si>
    <t>Unquoted loan price; monthly simple draw-period interest paid from equity Original Inputs!B35.</t>
  </si>
  <si>
    <t>LoanYears</t>
  </si>
  <si>
    <t>years</t>
  </si>
  <si>
    <t>Monthly post-opening amortisation; no balloon until hypothetical valuation horizon Original Inputs!B37.</t>
  </si>
  <si>
    <t>LoanFee</t>
  </si>
  <si>
    <t>fraction of principal</t>
  </si>
  <si>
    <t>Paid with first construction draw; no assumed lender approval Original Inputs!B38.</t>
  </si>
  <si>
    <t>Ramp</t>
  </si>
  <si>
    <t>50% to 100% of stabilised revenue over12months; all fixed costs retained Original Inputs!B39.</t>
  </si>
  <si>
    <t>PreFeeShare</t>
  </si>
  <si>
    <t>NEW scheduling hypothesis:30% of professional fees preconstruction,70% follows works. Not a contract</t>
  </si>
  <si>
    <t>HoldYears</t>
  </si>
  <si>
    <t>years after opening</t>
  </si>
  <si>
    <t>NEW marked-value comparison horizon, NOT client disposal instruction</t>
  </si>
  <si>
    <t>ExitCap</t>
  </si>
  <si>
    <t>Unverified next-year NOI capitalisation; no value assigned to undeveloped residual land Original Inputs!B33.</t>
  </si>
  <si>
    <t>ExitCost</t>
  </si>
  <si>
    <t>fraction of asset value</t>
  </si>
  <si>
    <t>NEW hypothetical realisation-cost allowance for comparable terminal-value test; tax excluded</t>
  </si>
  <si>
    <t>LandTest</t>
  </si>
  <si>
    <t>Separate unverified R20m opportunity-cost stress; no claim about whole-holding or phase land value Original Inputs!B40.</t>
  </si>
  <si>
    <t>VAT</t>
  </si>
  <si>
    <t>Separate gross cash-exposure proxy only; returns exclude VAT and tax, recoverability unresolved Original Inputs!B41.</t>
  </si>
  <si>
    <t>MinDSCR</t>
  </si>
  <si>
    <t>times</t>
  </si>
  <si>
    <t>1.30x stabilised income screen, not lender covenant package Original Inputs!B36.</t>
  </si>
  <si>
    <t>IncomeCap</t>
  </si>
  <si>
    <t>1 cap / 0 use full LTC</t>
  </si>
  <si>
    <t>NEW default debt=min(LTC limit,income support); full60% loan still shown separately. No guarantee of finance</t>
  </si>
  <si>
    <t>Scenario</t>
  </si>
  <si>
    <t>Nominal prefinance cost</t>
  </si>
  <si>
    <t>Nominal full-ramp NOI</t>
  </si>
  <si>
    <t>Nominal yield</t>
  </si>
  <si>
    <t>Peak net equity exVAT/land</t>
  </si>
  <si>
    <t>Changed driver manifest</t>
  </si>
  <si>
    <t>Status / method</t>
  </si>
  <si>
    <t>A base</t>
  </si>
  <si>
    <t>{}</t>
  </si>
  <si>
    <t>A downside:30%occ,ADR1200;cost+20%</t>
  </si>
  <si>
    <t>NO VALID IRR</t>
  </si>
  <si>
    <t>{"ADR": 1200, "Civils": 9600000, "Electrical": 4800000, "HotelOcc": 0.3, "HotelRate": 2160000, "OfficeOcc": 0.7, "OfficeRate": 16800, "OfficeRent": 75, "ParkingRate": 1200, "PublicRealm": 2400000}</t>
  </si>
  <si>
    <t>A operator-demand test60%/ADR1800</t>
  </si>
  <si>
    <t>Workstream / design driver</t>
  </si>
  <si>
    <t>{"ADR": 1800, "HotelOcc": 0.6}</t>
  </si>
  <si>
    <t>Timing / amount</t>
  </si>
  <si>
    <t>Output and gate</t>
  </si>
  <si>
    <t>Parking hard cost at price date</t>
  </si>
  <si>
    <t>Partner review</t>
  </si>
  <si>
    <t>Before any consultant instruction</t>
  </si>
  <si>
    <t>Confirm mix, equity capacity, hurdle and common brief</t>
  </si>
  <si>
    <t>Mo/partners retain decision</t>
  </si>
  <si>
    <t>A25%less hotel cost/key</t>
  </si>
  <si>
    <t>Evidence and consultant scopes</t>
  </si>
  <si>
    <t>Weeks1–2, illustrative14–25Sep2026</t>
  </si>
  <si>
    <t>Reconcile May planning quote/July diagnostic RFP; equal architect scope; client authority</t>
  </si>
  <si>
    <t>Latest reviewed pack, not appointments</t>
  </si>
  <si>
    <t>Constraints</t>
  </si>
  <si>
    <t>Weeks2–4,21Sep–9Oct</t>
  </si>
  <si>
    <t>{"HotelRate": 1350000}</t>
  </si>
  <si>
    <t>Portion constraints, title/servitudes, floodline/dam, access/services/environment</t>
  </si>
  <si>
    <t>Specialist evidence unresolved</t>
  </si>
  <si>
    <t>Market/operator work</t>
  </si>
  <si>
    <t>Weeks2–5,21Sep–16Oct</t>
  </si>
  <si>
    <t>Achieved monthly hotel economics and rents, operator/tenant terms</t>
  </si>
  <si>
    <t>No new demand evidence invented</t>
  </si>
  <si>
    <t>Architect options</t>
  </si>
  <si>
    <t>Weeks3–5,28Sep–16Oct</t>
  </si>
  <si>
    <t>A no nominal operating growth</t>
  </si>
  <si>
    <t>40-key/control;24-key standalone test; operator-led; conditional P4 option</t>
  </si>
  <si>
    <t>Same architect brief, no automatic use approval</t>
  </si>
  <si>
    <t>QS and financing</t>
  </si>
  <si>
    <t>Weeks5–6,12–23Oct</t>
  </si>
  <si>
    <t>Elemental cost, common versus phase works, nominal cash flow, tax/lender inputs</t>
  </si>
  <si>
    <t>All current pricing remains hypotheses</t>
  </si>
  <si>
    <t>{"OpGrowth": 0, "RevGrowth": 0}</t>
  </si>
  <si>
    <t>Partner gate</t>
  </si>
  <si>
    <t>Week7,26–30Oct</t>
  </si>
  <si>
    <t>Sense-check arithmetic, scope, affordability and chosen next step</t>
  </si>
  <si>
    <t>No investment decision by model</t>
  </si>
  <si>
    <t>Client scope recommendation</t>
  </si>
  <si>
    <t>Week8,2–6Nov</t>
  </si>
  <si>
    <t>Only with authority and adequate evidence; publication is not appointment</t>
  </si>
  <si>
    <t>Dates proposed not promised</t>
  </si>
  <si>
    <t>A costs grow6%,income2%</t>
  </si>
  <si>
    <t>A accommodation</t>
  </si>
  <si>
    <t>40keys;32standard+8family/accessibility mix to resolve;2400m² hotel GFA;1000m² officeGLA/1200GFA;120bays</t>
  </si>
  <si>
    <t>Measure per-portion GFA/GLA and parking;60m²/key includes shared/BOH</t>
  </si>
  <si>
    <t>Initial brief hypotheses retained for method control</t>
  </si>
  <si>
    <t>B first-phase variant</t>
  </si>
  <si>
    <t>24keys;1440m² hotel GFA;600m² officeGLA/720GFA;80bays</t>
  </si>
  <si>
    <t>Common civils/electrical/public realm</t>
  </si>
  <si>
    <t>{"OpGrowth": 0.06, "RevGrowth": 0.02}</t>
  </si>
  <si>
    <t>Must work without later phases; fixed staff/common infrastructure not scaled down automatically</t>
  </si>
  <si>
    <t>New explicit design test; no operator endorsement</t>
  </si>
  <si>
    <t>Operator-led option</t>
  </si>
  <si>
    <t>Unpriced pending terms</t>
  </si>
  <si>
    <t>Who funds buildings/services, guaranteed rent, term/escalation, handback/control</t>
  </si>
  <si>
    <t>Do not insert fictitious ground rent or free partner capital</t>
  </si>
  <si>
    <t>Conditional P4 option</t>
  </si>
  <si>
    <t>Unpriced pending rights/yield/demand</t>
  </si>
  <si>
    <t>Planner confirms route and net developable envelope; no50–60units/ha entitlement</t>
  </si>
  <si>
    <t>No residential/QSR/mosque/padel/equestrian income in base</t>
  </si>
  <si>
    <t>Waterfront approach</t>
  </si>
  <si>
    <t>Visual amenity within verified rights</t>
  </si>
  <si>
    <t>No off-site water-authority land or water-contact recreation reliance</t>
  </si>
  <si>
    <t>Current legal and environmental gates retained</t>
  </si>
  <si>
    <t>Architect deliverables</t>
  </si>
  <si>
    <t>Constraints overlay;options;measured schedules;phasing;QS-ready elemental scope;2review rounds</t>
  </si>
  <si>
    <t>Akoma single coordinator, common quotation issue to Ahmed Saber Bham and alternate</t>
  </si>
  <si>
    <t>Draft, not appointment</t>
  </si>
  <si>
    <t>Standalone architect brief</t>
  </si>
  <si>
    <t>A6months earlier,not promised</t>
  </si>
  <si>
    <t>Hard cost total at price date</t>
  </si>
  <si>
    <t>https://docs.google.com/document/d/166hYK7tNIUyOnb2Uux9NCZqQpmc6GekM_AqVfLlv6Hg/edit</t>
  </si>
  <si>
    <t>Existing three-page brief remains unchanged</t>
  </si>
  <si>
    <t>New model does not overwrite the brief</t>
  </si>
  <si>
    <t>{"PreMonths": 18}</t>
  </si>
  <si>
    <t>A24months later</t>
  </si>
  <si>
    <t>Professional fees at price date</t>
  </si>
  <si>
    <t>{"PreMonths": 48}</t>
  </si>
  <si>
    <t>Contingency at price date</t>
  </si>
  <si>
    <t>A exit cap8%,same operations</t>
  </si>
  <si>
    <t>{"ExitCap": 0.08}</t>
  </si>
  <si>
    <t>Constant-money total before finance</t>
  </si>
  <si>
    <t>A exit cap12%,same operations</t>
  </si>
  <si>
    <t>{"ExitCap": 0.12}</t>
  </si>
  <si>
    <t>Month</t>
  </si>
  <si>
    <t>B base,full fixed costs retained</t>
  </si>
  <si>
    <t>Period end</t>
  </si>
  <si>
    <t>Stage</t>
  </si>
  <si>
    <t>Construction draw weight</t>
  </si>
  <si>
    <t>Hard works + contingency</t>
  </si>
  <si>
    <t>Professional fees</t>
  </si>
  <si>
    <t>Diagnostic package</t>
  </si>
  <si>
    <t>Preopening float</t>
  </si>
  <si>
    <t>Total development cash</t>
  </si>
  <si>
    <t>Revenue ramp</t>
  </si>
  <si>
    <t>Hotel room revenue</t>
  </si>
  <si>
    <t>Hotel ancillary</t>
  </si>
  <si>
    <t>Hotel variable cost</t>
  </si>
  <si>
    <t>Hotel fixed cost</t>
  </si>
  <si>
    <t>Replacement reserve</t>
  </si>
  <si>
    <t>Office NOI</t>
  </si>
  <si>
    <t>Estate operating cost</t>
  </si>
  <si>
    <t>Project NOI</t>
  </si>
  <si>
    <t>All Sep2026 money; no finance, land or VAT; holding included at current monthly rate</t>
  </si>
  <si>
    <t>Opening principal</t>
  </si>
  <si>
    <t>Nominal total before finance</t>
  </si>
  <si>
    <t>Loan draw</t>
  </si>
  <si>
    <t>Loan interest</t>
  </si>
  <si>
    <t>Principal repaid</t>
  </si>
  <si>
    <t>Loan fee</t>
  </si>
  <si>
    <t>Closing principal</t>
  </si>
  <si>
    <t>Equity cash preterminal</t>
  </si>
  <si>
    <t>B fixed hotel budget60%of A</t>
  </si>
  <si>
    <t>Cumulative equity cash</t>
  </si>
  <si>
    <t>Project cash preterminal</t>
  </si>
  <si>
    <t>Gross VAT proxy</t>
  </si>
  <si>
    <t>Project CF incl terminal</t>
  </si>
  <si>
    <t>{"HotelFixed": 2400000}</t>
  </si>
  <si>
    <t>Equity CF incl terminal</t>
  </si>
  <si>
    <t>Project CF incl land test</t>
  </si>
  <si>
    <t>Cumulative project cash</t>
  </si>
  <si>
    <t>Cash-spend dates escalated individually, including preconstruction fees and preopening spend</t>
  </si>
  <si>
    <t>Nominal less constant-money cost</t>
  </si>
  <si>
    <t>B60%/ADR1800 and fixed budget60%</t>
  </si>
  <si>
    <t>{"ADR": 1800, "HotelFixed": 2400000, "HotelOcc": 0.6}</t>
  </si>
  <si>
    <t>First trading month</t>
  </si>
  <si>
    <t>Full-ramp month</t>
  </si>
  <si>
    <t>Valuation horizon month</t>
  </si>
  <si>
    <t>A total-capex multiplier</t>
  </si>
  <si>
    <t>Aggregate affordability test, not QS-identified savings</t>
  </si>
  <si>
    <t>Constant-money hotel total revenue/year</t>
  </si>
  <si>
    <t>Constant-money hotel NOI/year</t>
  </si>
  <si>
    <t>B hotel-fixed-budget fraction of A</t>
  </si>
  <si>
    <t>B nominal yield</t>
  </si>
  <si>
    <t>Changing only staffing/fixed-budget assumption; B infrastructure and estate retained</t>
  </si>
  <si>
    <t>Constant-money office NOI/year</t>
  </si>
  <si>
    <t>Constant-money project NOI/year</t>
  </si>
  <si>
    <t>Constant-money yield excluding land</t>
  </si>
  <si>
    <t>A loan interest rate</t>
  </si>
  <si>
    <t>Same nominal loan principal and NOI; not whole funding repricing</t>
  </si>
  <si>
    <t>Constant-price stabilised NOI / constant-price development cost</t>
  </si>
  <si>
    <t>Nominal stabilised annual run-rate at full ramp</t>
  </si>
  <si>
    <t>365-day annualised run-rate at full-ramp month; not the opening-year cash actually collected</t>
  </si>
  <si>
    <t>Nominal yield on dated cost, excluding land</t>
  </si>
  <si>
    <t>Nominal full-ramp run-rate / sum of dated nominal development outflows; not IRR</t>
  </si>
  <si>
    <t>First12 full-ramp months actual NOI</t>
  </si>
  <si>
    <t>Control</t>
  </si>
  <si>
    <t>A result</t>
  </si>
  <si>
    <t>B result</t>
  </si>
  <si>
    <t>Expected</t>
  </si>
  <si>
    <t>Construction weights sum</t>
  </si>
  <si>
    <t>Loan draw reconciliation</t>
  </si>
  <si>
    <t>Debt roll-forward</t>
  </si>
  <si>
    <t>Actual day counts and monthly price growth mean this differs from annual snapshot</t>
  </si>
  <si>
    <t>Hypothetical60% LTC principal</t>
  </si>
  <si>
    <t>Horizon+12fits</t>
  </si>
  <si>
    <t>Annual service on hypothetical60% loan</t>
  </si>
  <si>
    <t>Amortisation fits</t>
  </si>
  <si>
    <t>DSCR on hypothetical60% loan</t>
  </si>
  <si>
    <t>Final loan balance</t>
  </si>
  <si>
    <t>No current municipal subsidy</t>
  </si>
  <si>
    <t>Control NOI vs original</t>
  </si>
  <si>
    <t>Comparable failed60% screen, separate from selected income-capped borrowing</t>
  </si>
  <si>
    <t>Income-supported principal at full ramp</t>
  </si>
  <si>
    <t>B has deliberately different mix</t>
  </si>
  <si>
    <t>Gross SG area</t>
  </si>
  <si>
    <t>Valid horizon and timing</t>
  </si>
  <si>
    <t>Selected illustrative debt principal</t>
  </si>
  <si>
    <t>Scenario snapshots match current inputs</t>
  </si>
  <si>
    <t>Shared input-state control</t>
  </si>
  <si>
    <t>ID</t>
  </si>
  <si>
    <t>Class</t>
  </si>
  <si>
    <t>Source</t>
  </si>
  <si>
    <t>Date / location</t>
  </si>
  <si>
    <t>Use and limit</t>
  </si>
  <si>
    <t>S1</t>
  </si>
  <si>
    <t>Income-capped debt is a screening assumption, not an offer; lending and tax gates unresolved</t>
  </si>
  <si>
    <t>Current authority</t>
  </si>
  <si>
    <t>Haarties finance/model-registry.md</t>
  </si>
  <si>
    <t>Selected annual scheduled service</t>
  </si>
  <si>
    <t>Read8Sep2026</t>
  </si>
  <si>
    <t>STUB_ONLY permits labelled directional work; no approved model</t>
  </si>
  <si>
    <t>S2</t>
  </si>
  <si>
    <t>Current project record</t>
  </si>
  <si>
    <t>Haarties _status.md + haarties-bible.md</t>
  </si>
  <si>
    <t>Current pack corrects historical area and categorical Portion4 wording; bible alone not latest site evidence</t>
  </si>
  <si>
    <t>S3</t>
  </si>
  <si>
    <t>Verified case evidence</t>
  </si>
  <si>
    <t>SG3820/1998;3822/1998;3823/1998</t>
  </si>
  <si>
    <t>5.3106+3.4576+2.1208ha</t>
  </si>
  <si>
    <t>Gross10.889ha, not net developable land</t>
  </si>
  <si>
    <t>S4</t>
  </si>
  <si>
    <t>Historical authority requiring current confirmation</t>
  </si>
  <si>
    <t>Zoning Info.pdf pp2–3</t>
  </si>
  <si>
    <t>P6 hotel/P7 professional offices historical fit; current rights/floodline/services/title missing</t>
  </si>
  <si>
    <t>S5</t>
  </si>
  <si>
    <t>Verified correspondence, not appointment</t>
  </si>
  <si>
    <t>Pieter de Haas11Dec2025;May8planning quote receipt;NandoMay8/13</t>
  </si>
  <si>
    <t>Initial fresh-email pack8Sep2026</t>
  </si>
  <si>
    <t>No new accepted lease, quote terms or current municipal approval established</t>
  </si>
  <si>
    <t>S6</t>
  </si>
  <si>
    <t>Human brief instruction</t>
  </si>
  <si>
    <t>Selected full-ramp DSCR</t>
  </si>
  <si>
    <t>Zubair27Jul2026 Discord architect instruction</t>
  </si>
  <si>
    <t>https://discord.com/channels/895016031842627635/1531218773628162148/1531222906649055263</t>
  </si>
  <si>
    <t>Ahmed Saber Bham plus alternate, commonbrief</t>
  </si>
  <si>
    <t>S7</t>
  </si>
  <si>
    <t>Current working model, not approved</t>
  </si>
  <si>
    <t>Original8Sep2026 workbook</t>
  </si>
  <si>
    <t>Frozen live values/formulas read this session; carry test inputs for controlled comparison, no edits</t>
  </si>
  <si>
    <t>S8</t>
  </si>
  <si>
    <t>Historical cost benchmark</t>
  </si>
  <si>
    <t>AECOM Africa Cost Guide2024/25</t>
  </si>
  <si>
    <t>Jul2024 rates,pp51/54/56; https://aaqs.org/wp-content/uploads/2025/05/AECOM-Africa-Cost-Guide-2024-25.pdf</t>
  </si>
  <si>
    <t>Supports previous calibration only, not a current tender/elemental estimate</t>
  </si>
  <si>
    <t>Actual opening-year DSCR</t>
  </si>
  <si>
    <t>S9</t>
  </si>
  <si>
    <t>Supporting asking-rent comparator</t>
  </si>
  <si>
    <t>Seeff CLS5705,113ScottStreet</t>
  </si>
  <si>
    <t>R7500/101m²=R74.26asking,checked8Sep2026</t>
  </si>
  <si>
    <t>Not achieved rent and not like-for-like new building</t>
  </si>
  <si>
    <t>S10</t>
  </si>
  <si>
    <t>Supporting option framework</t>
  </si>
  <si>
    <t>Akoma wiki Haarties Stage2 option screening</t>
  </si>
  <si>
    <t>akoma-wiki/wiki/concepts/haarties-stage-2-option-screening.md</t>
  </si>
  <si>
    <t>Five option families, separate business structure and uses; old registration restriction superseded</t>
  </si>
  <si>
    <t>S11</t>
  </si>
  <si>
    <t>Unresolved</t>
  </si>
  <si>
    <t>Operator demand,QS,services/title/rights,tax,land value and lender terms</t>
  </si>
  <si>
    <t>No invented approvals/subsidies/tenant commitments; assumptions editable and explicit</t>
  </si>
  <si>
    <t>S12</t>
  </si>
  <si>
    <t>New modelling hypotheses</t>
  </si>
  <si>
    <t>Nominal revenue/fixed-cost growth4%;fee timing30/70;10year marked-value horizon;2%realisation costs</t>
  </si>
  <si>
    <t>This expert model,8Sep2026</t>
  </si>
  <si>
    <t>Sensitivity inputs only, not new market evidence or planned sale</t>
  </si>
  <si>
    <t>S13</t>
  </si>
  <si>
    <t>Current request</t>
  </si>
  <si>
    <t>Mo8Sep2026 original feasibility instruction plus expert rebuild</t>
  </si>
  <si>
    <t>https://discord.com/channels/895016031842627635/1546837621701873775/1546853505325731841</t>
  </si>
  <si>
    <t>New model authorised; original retained; public subpages authorised, not investment/spend</t>
  </si>
  <si>
    <t>S14</t>
  </si>
  <si>
    <t>Recent inbox delta check</t>
  </si>
  <si>
    <t>Accessible Akoma Gmail after7Sep2026,project keywords</t>
  </si>
  <si>
    <t>Two recorder recap matches, excluded from project evidence under meeting-pack policy; no new primary project-email input adopted</t>
  </si>
  <si>
    <t>S15</t>
  </si>
  <si>
    <t>Judgement cross-read</t>
  </si>
  <si>
    <t>Own/global/other project judgement corpus</t>
  </si>
  <si>
    <t>Checked8Sep2026</t>
  </si>
  <si>
    <t>No applicable tagged principle found or borrowed</t>
  </si>
  <si>
    <t>Item</t>
  </si>
  <si>
    <t>Value</t>
  </si>
  <si>
    <t>Qualification</t>
  </si>
  <si>
    <t>T0</t>
  </si>
  <si>
    <t>Illustrative mobilisation, not consultant appointment</t>
  </si>
  <si>
    <t>Calculation months</t>
  </si>
  <si>
    <t>20-year monthly grid; horizon+12 must fit, loan amortisation must fit</t>
  </si>
  <si>
    <t>Price date</t>
  </si>
  <si>
    <t>Cost and operating starting prices, both nominally escalated only where stated</t>
  </si>
  <si>
    <t>No current QS/operator/engineer/tax/lender validation</t>
  </si>
  <si>
    <t>Source workbook</t>
  </si>
  <si>
    <t>Read-only frozen comparator as at8Sep2026</t>
  </si>
  <si>
    <t>Author</t>
  </si>
  <si>
    <t>Codex / Marvin</t>
  </si>
  <si>
    <t>Built anew using property-development-finance-expert, sequential non-independent verification</t>
  </si>
  <si>
    <t>Authority</t>
  </si>
  <si>
    <t>Mo, Discord8Sep2026 message1546853505325731841</t>
  </si>
  <si>
    <t>New model and all subpage contents authorised; no appointments/spend or investment decision</t>
  </si>
  <si>
    <t>Units</t>
  </si>
  <si>
    <t>ZAR; buildings m²; periods monthly</t>
  </si>
  <si>
    <t>All operating prices net of output VAT; returns ex VAT and income tax</t>
  </si>
  <si>
    <t>Ramp reduces opening-year income; ongoing equity cash requirement captures shortfall</t>
  </si>
  <si>
    <t>Construction interest paid from equity</t>
  </si>
  <si>
    <t>Loan arrangement fee</t>
  </si>
  <si>
    <t>Total cost including selected financing</t>
  </si>
  <si>
    <t>Interest and fees on selected debt only, excludes VAT/land and operating ramp deficits</t>
  </si>
  <si>
    <t>Peak cumulative net equity excluding VAT/land</t>
  </si>
  <si>
    <t>Maximum cumulative equity exposure in full monthly grid, ex VAT/land; not a fully bankable equity commitment</t>
  </si>
  <si>
    <t>Gross VAT cash-exposure proxy</t>
  </si>
  <si>
    <t>Conservative gross VAT exposure on works/fees/studies/preopening only; no recovery assumed or irrecoverability finding</t>
  </si>
  <si>
    <t>Net terminal asset value, hypothetical</t>
  </si>
  <si>
    <t>Next12months NOI capitalised less2% hypothetical realisation cost, no value for undeveloped remainder, not full-site valuation</t>
  </si>
  <si>
    <t>Debt outstanding at valuation horizon</t>
  </si>
  <si>
    <t>Illustrative project XIRR excluding land</t>
  </si>
  <si>
    <t>Hypothetical realisation after10 operating years, ex land/VAT/tax, NOT a sale recommendation</t>
  </si>
  <si>
    <t>Illustrative levered XIRR excluding land</t>
  </si>
  <si>
    <t>Selected income-capped borrowing; includes terminal debt repayment, ex land/VAT/tax</t>
  </si>
  <si>
    <t>Project XIRR with R20m land stress</t>
  </si>
  <si>
    <t>Same project cash plus separate unverified R20m opportunity-cost stress atT0; no whole-site valuation inferred</t>
  </si>
  <si>
    <t>Project nominal multiple excluding land</t>
  </si>
  <si>
    <t>Equity nominal multiple excluding land</t>
  </si>
  <si>
    <t>Required nominal NOI at yield hurdle</t>
  </si>
  <si>
    <t>Required hotel occupancy at base ADR</t>
  </si>
  <si>
    <t>Above100% means impossible at that ADR/other inputs, not demand guidance</t>
  </si>
  <si>
    <t>Maximum cost supported at yield hurdle</t>
  </si>
  <si>
    <t>Cost above income-supported ceiling</t>
  </si>
  <si>
    <t>Actual first full-ramp-year DSCR</t>
  </si>
  <si>
    <t>Peak equity plus gross VAT proxy</t>
  </si>
  <si>
    <t>Adds full gross VAT proxy to peak equity as an exposure ceiling, not a dated VAT model</t>
  </si>
  <si>
    <t>Opening-year project NOI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</si>
</sst>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#,##0.00;[Red](#,##0.00)"/>
    <numFmt numFmtId="165" formatCode="&quot;R &quot;#,##0;[Red](&quot;R &quot;#,##0)"/>
    <numFmt numFmtId="166" formatCode="&quot;R &quot;#,##0"/>
    <numFmt numFmtId="167" formatCode="0.00%;[Red](0.00%)"/>
    <numFmt numFmtId="168" formatCode="0.00&quot;x&quot;"/>
    <numFmt numFmtId="169" formatCode="dd mmm yyyy"/>
    <numFmt numFmtId="170" formatCode="0.0%"/>
  </numFmts>
  <fonts count="5">
    <font>
      <sz val="10.0"/>
      <color rgb="FF000000"/>
      <name val="Arial"/>
      <scheme val="minor"/>
    </font>
    <font>
      <b/>
      <sz val="11.0"/>
      <color rgb="FFFFFCF9"/>
      <name val="Arial"/>
      <scheme val="minor"/>
    </font>
    <font>
      <sz val="11.0"/>
      <color rgb="FF343B34"/>
      <name val="Nunito"/>
    </font>
    <font>
      <sz val="11.0"/>
      <color rgb="FF17446D"/>
      <name val="Nunito"/>
    </font>
    <font>
      <b/>
      <sz val="11.0"/>
      <color rgb="FF343B34"/>
      <name val="Nunito"/>
    </font>
  </fonts>
  <fills count="5">
    <fill>
      <patternFill patternType="none"/>
    </fill>
    <fill>
      <patternFill patternType="lightGray"/>
    </fill>
    <fill>
      <patternFill patternType="solid">
        <fgColor rgb="FF343B34"/>
        <bgColor rgb="FF343B34"/>
      </patternFill>
    </fill>
    <fill>
      <patternFill patternType="solid">
        <fgColor rgb="FFFFFCF9"/>
        <bgColor rgb="FFFFFCF9"/>
      </patternFill>
    </fill>
    <fill>
      <patternFill patternType="solid">
        <fgColor rgb="FFE6F4D1"/>
        <bgColor rgb="FFE6F4D1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top" wrapText="1"/>
    </xf>
    <xf borderId="0" fillId="3" fontId="2" numFmtId="0" xfId="0" applyAlignment="1" applyFill="1" applyFont="1">
      <alignment shrinkToFit="0" vertical="top" wrapText="1"/>
    </xf>
    <xf borderId="0" fillId="4" fontId="3" numFmtId="164" xfId="0" applyAlignment="1" applyFill="1" applyFont="1" applyNumberFormat="1">
      <alignment shrinkToFit="0" vertical="top" wrapText="1"/>
    </xf>
    <xf borderId="0" fillId="4" fontId="4" numFmtId="165" xfId="0" applyAlignment="1" applyFill="1" applyFont="1" applyNumberFormat="1">
      <alignment shrinkToFit="0" vertical="top" wrapText="1"/>
    </xf>
    <xf borderId="0" fillId="3" fontId="2" numFmtId="166" xfId="0" applyAlignment="1" applyFill="1" applyFont="1" applyNumberFormat="1">
      <alignment shrinkToFit="0" vertical="top" wrapText="1"/>
    </xf>
    <xf borderId="0" fillId="4" fontId="4" numFmtId="167" xfId="0" applyAlignment="1" applyFill="1" applyFont="1" applyNumberFormat="1">
      <alignment shrinkToFit="0" vertical="top" wrapText="1"/>
    </xf>
    <xf borderId="0" fillId="4" fontId="3" numFmtId="167" xfId="0" applyAlignment="1" applyFill="1" applyFont="1" applyNumberFormat="1">
      <alignment shrinkToFit="0" vertical="top" wrapText="1"/>
    </xf>
    <xf borderId="0" fillId="3" fontId="2" numFmtId="10" xfId="0" applyAlignment="1" applyFill="1" applyFont="1" applyNumberFormat="1">
      <alignment shrinkToFit="0" vertical="top" wrapText="1"/>
    </xf>
    <xf borderId="0" fillId="3" fontId="2" numFmtId="164" xfId="0" applyAlignment="1" applyFill="1" applyFont="1" applyNumberFormat="1">
      <alignment shrinkToFit="0" vertical="top" wrapText="1"/>
    </xf>
    <xf borderId="0" fillId="3" fontId="2" numFmtId="168" xfId="0" applyAlignment="1" applyFill="1" applyFont="1" applyNumberFormat="1">
      <alignment shrinkToFit="0" vertical="top" wrapText="1"/>
    </xf>
    <xf borderId="0" fillId="4" fontId="3" numFmtId="167" xfId="0" applyAlignment="1" applyFill="1" applyFont="1" applyNumberFormat="1">
      <alignment readingOrder="0" shrinkToFit="0" vertical="top" wrapText="1"/>
    </xf>
    <xf borderId="0" fillId="3" fontId="2" numFmtId="167" xfId="0" applyAlignment="1" applyFill="1" applyFont="1" applyNumberFormat="1">
      <alignment shrinkToFit="0" vertical="top" wrapText="1"/>
    </xf>
    <xf borderId="0" fillId="4" fontId="3" numFmtId="164" xfId="0" applyAlignment="1" applyFill="1" applyFont="1" applyNumberFormat="1">
      <alignment readingOrder="0" shrinkToFit="0" vertical="top" wrapText="1"/>
    </xf>
    <xf borderId="0" fillId="3" fontId="2" numFmtId="165" xfId="0" applyAlignment="1" applyFill="1" applyFont="1" applyNumberFormat="1">
      <alignment shrinkToFit="0" vertical="top" wrapText="1"/>
    </xf>
    <xf borderId="0" fillId="3" fontId="2" numFmtId="169" xfId="0" applyAlignment="1" applyFill="1" applyFont="1" applyNumberFormat="1">
      <alignment shrinkToFit="0" vertical="top" wrapText="1"/>
    </xf>
    <xf borderId="0" fillId="3" fontId="2" numFmtId="170" xfId="0" applyAlignment="1" applyFill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6.38"/>
    <col customWidth="1" min="2" max="2" width="71.38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4">
        <f>Summary!B14</f>
        <v>164244770.1</v>
      </c>
    </row>
    <row r="7">
      <c r="A7" s="2" t="s">
        <v>38</v>
      </c>
      <c r="B7" s="4">
        <f>Summary!B24</f>
        <v>4031068.929</v>
      </c>
    </row>
    <row r="8">
      <c r="A8" s="2" t="s">
        <v>43</v>
      </c>
      <c r="B8" s="6">
        <f>Summary!B25</f>
        <v>0.02454305806</v>
      </c>
    </row>
    <row r="9">
      <c r="A9" s="2" t="s">
        <v>49</v>
      </c>
      <c r="B9" s="6">
        <f>Summary!B23</f>
        <v>0.02410097292</v>
      </c>
    </row>
    <row r="10">
      <c r="A10" s="2" t="s">
        <v>53</v>
      </c>
      <c r="B10" s="4">
        <f>Summary!C14</f>
        <v>109703949</v>
      </c>
    </row>
    <row r="11">
      <c r="A11" s="2" t="s">
        <v>57</v>
      </c>
      <c r="B11" s="6">
        <f>Summary!C25</f>
        <v>0.002037054465</v>
      </c>
    </row>
    <row r="12">
      <c r="A12" s="2" t="s">
        <v>63</v>
      </c>
      <c r="B12" s="2" t="s">
        <v>66</v>
      </c>
    </row>
    <row r="13">
      <c r="A13" s="2" t="s">
        <v>68</v>
      </c>
      <c r="B13" s="2" t="s">
        <v>70</v>
      </c>
    </row>
    <row r="14">
      <c r="A14" s="2" t="s">
        <v>72</v>
      </c>
      <c r="B14" s="2" t="s">
        <v>73</v>
      </c>
    </row>
    <row r="15">
      <c r="A15" s="2" t="s">
        <v>76</v>
      </c>
      <c r="B15" s="2" t="s">
        <v>79</v>
      </c>
    </row>
    <row r="16">
      <c r="A16" s="2" t="s">
        <v>82</v>
      </c>
      <c r="B16" s="2" t="s">
        <v>85</v>
      </c>
    </row>
    <row r="17">
      <c r="A17" s="2" t="s">
        <v>86</v>
      </c>
      <c r="B17" s="2" t="s">
        <v>88</v>
      </c>
    </row>
    <row r="18">
      <c r="A18" s="2" t="s">
        <v>90</v>
      </c>
      <c r="B18" s="2" t="s">
        <v>91</v>
      </c>
    </row>
    <row r="19">
      <c r="A19" s="2" t="s">
        <v>92</v>
      </c>
      <c r="B19" s="2" t="s">
        <v>93</v>
      </c>
    </row>
    <row r="20">
      <c r="A20" s="2" t="s">
        <v>95</v>
      </c>
      <c r="B20" s="2" t="s">
        <v>98</v>
      </c>
    </row>
    <row r="21">
      <c r="A21" s="2" t="s">
        <v>99</v>
      </c>
      <c r="B21" s="2" t="s">
        <v>101</v>
      </c>
    </row>
    <row r="22">
      <c r="A22" s="2" t="s">
        <v>102</v>
      </c>
      <c r="B22" s="2" t="s">
        <v>104</v>
      </c>
    </row>
    <row r="23">
      <c r="A23" s="2" t="s">
        <v>106</v>
      </c>
      <c r="B23" s="2" t="s">
        <v>107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7.63"/>
    <col customWidth="1" min="2" max="2" width="36.38"/>
    <col customWidth="1" min="3" max="3" width="38.88"/>
    <col customWidth="1" min="4" max="4" width="70.13"/>
  </cols>
  <sheetData>
    <row r="1">
      <c r="A1" s="1" t="s">
        <v>11</v>
      </c>
      <c r="B1" s="1" t="s">
        <v>12</v>
      </c>
      <c r="C1" s="1" t="s">
        <v>13</v>
      </c>
      <c r="D1" s="1" t="s">
        <v>14</v>
      </c>
    </row>
    <row r="2">
      <c r="A2" s="2" t="s">
        <v>15</v>
      </c>
      <c r="B2" s="2" t="s">
        <v>16</v>
      </c>
      <c r="C2" s="2" t="s">
        <v>16</v>
      </c>
      <c r="D2" s="2" t="s">
        <v>17</v>
      </c>
    </row>
    <row r="3">
      <c r="A3" s="2" t="s">
        <v>18</v>
      </c>
      <c r="B3" s="2" t="s">
        <v>20</v>
      </c>
      <c r="C3" s="2" t="s">
        <v>20</v>
      </c>
      <c r="D3" s="2" t="s">
        <v>22</v>
      </c>
    </row>
    <row r="4">
      <c r="A4" s="2" t="s">
        <v>24</v>
      </c>
      <c r="B4" s="2" t="s">
        <v>26</v>
      </c>
      <c r="C4" s="2" t="s">
        <v>28</v>
      </c>
      <c r="D4" s="2" t="s">
        <v>29</v>
      </c>
    </row>
    <row r="5">
      <c r="A5" s="2" t="s">
        <v>31</v>
      </c>
      <c r="B5" s="5">
        <v>1.6358770229596904E8</v>
      </c>
      <c r="C5" s="5">
        <f>Summary!B14</f>
        <v>164244770.1</v>
      </c>
      <c r="D5" s="2" t="s">
        <v>60</v>
      </c>
    </row>
    <row r="6">
      <c r="A6" s="2" t="s">
        <v>64</v>
      </c>
      <c r="B6" s="5">
        <v>3378860.0</v>
      </c>
      <c r="C6" s="5">
        <f>Summary!B22</f>
        <v>3378860</v>
      </c>
      <c r="D6" s="2" t="s">
        <v>81</v>
      </c>
    </row>
    <row r="7">
      <c r="A7" s="2" t="s">
        <v>84</v>
      </c>
      <c r="B7" s="5">
        <v>1.40196E8</v>
      </c>
      <c r="C7" s="5">
        <f>Summary!B13</f>
        <v>140196000</v>
      </c>
      <c r="D7" s="2" t="s">
        <v>96</v>
      </c>
    </row>
    <row r="8">
      <c r="A8" s="2" t="s">
        <v>100</v>
      </c>
      <c r="B8" s="8">
        <v>0.024100972923621216</v>
      </c>
      <c r="C8" s="8">
        <f>Summary!B23</f>
        <v>0.02410097292</v>
      </c>
      <c r="D8" s="2" t="s">
        <v>111</v>
      </c>
    </row>
    <row r="9">
      <c r="A9" s="2" t="s">
        <v>112</v>
      </c>
      <c r="B9" s="8">
        <v>0.020654731086612116</v>
      </c>
      <c r="C9" s="8" t="s">
        <v>114</v>
      </c>
      <c r="D9" s="2" t="s">
        <v>116</v>
      </c>
    </row>
    <row r="10">
      <c r="A10" s="2" t="s">
        <v>117</v>
      </c>
      <c r="B10" s="5" t="s">
        <v>118</v>
      </c>
      <c r="C10" s="5">
        <f>Summary!B24</f>
        <v>4031068.929</v>
      </c>
      <c r="D10" s="2" t="s">
        <v>125</v>
      </c>
    </row>
    <row r="11">
      <c r="A11" s="2" t="s">
        <v>127</v>
      </c>
      <c r="B11" s="8" t="s">
        <v>129</v>
      </c>
      <c r="C11" s="8">
        <f>Summary!B25</f>
        <v>0.02454305806</v>
      </c>
      <c r="D11" s="2" t="s">
        <v>133</v>
      </c>
    </row>
    <row r="12">
      <c r="A12" s="2" t="s">
        <v>134</v>
      </c>
      <c r="B12" s="10">
        <v>0.24556905278469016</v>
      </c>
      <c r="C12" s="10">
        <f>Summary!B29</f>
        <v>0.2917983049</v>
      </c>
      <c r="D12" s="2" t="s">
        <v>140</v>
      </c>
    </row>
    <row r="13">
      <c r="A13" s="2" t="s">
        <v>142</v>
      </c>
      <c r="B13" s="2" t="s">
        <v>144</v>
      </c>
      <c r="C13" s="2" t="s">
        <v>147</v>
      </c>
      <c r="D13" s="2" t="s">
        <v>150</v>
      </c>
    </row>
    <row r="14">
      <c r="A14" s="2" t="s">
        <v>152</v>
      </c>
      <c r="B14" s="5">
        <v>1.8540958661559228E7</v>
      </c>
      <c r="C14" s="5">
        <f>Summary!B31</f>
        <v>22119851.78</v>
      </c>
      <c r="D14" s="2" t="s">
        <v>160</v>
      </c>
    </row>
    <row r="15">
      <c r="A15" s="2" t="s">
        <v>162</v>
      </c>
      <c r="B15" s="2" t="s">
        <v>164</v>
      </c>
      <c r="C15" s="2" t="s">
        <v>165</v>
      </c>
      <c r="D15" s="2" t="s">
        <v>166</v>
      </c>
    </row>
    <row r="16">
      <c r="A16" s="2" t="s">
        <v>167</v>
      </c>
      <c r="B16" s="8" t="s">
        <v>168</v>
      </c>
      <c r="C16" s="8">
        <f>Summary!B42</f>
        <v>-0.05054876138</v>
      </c>
      <c r="D16" s="2" t="s">
        <v>171</v>
      </c>
    </row>
    <row r="17">
      <c r="A17" s="2" t="s">
        <v>173</v>
      </c>
      <c r="B17" s="8" t="s">
        <v>168</v>
      </c>
      <c r="C17" s="8">
        <f>Summary!B43</f>
        <v>-0.08304576511</v>
      </c>
      <c r="D17" s="2" t="s">
        <v>179</v>
      </c>
    </row>
    <row r="18">
      <c r="A18" s="2" t="s">
        <v>181</v>
      </c>
      <c r="B18" s="2" t="s">
        <v>182</v>
      </c>
      <c r="C18" s="2" t="s">
        <v>183</v>
      </c>
      <c r="D18" s="2" t="s">
        <v>184</v>
      </c>
    </row>
    <row r="19">
      <c r="A19" s="2" t="s">
        <v>186</v>
      </c>
      <c r="B19" s="2" t="s">
        <v>188</v>
      </c>
      <c r="C19" s="2" t="s">
        <v>190</v>
      </c>
      <c r="D19" s="2" t="s">
        <v>192</v>
      </c>
    </row>
  </sheetData>
  <autoFilter ref="$A$1:$D$1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7.0"/>
    <col customWidth="1" min="2" max="3" width="20.13"/>
    <col customWidth="1" min="4" max="4" width="25.13"/>
    <col customWidth="1" min="5" max="5" width="81.38"/>
  </cols>
  <sheetData>
    <row r="1">
      <c r="A1" s="1" t="s">
        <v>19</v>
      </c>
      <c r="B1" s="1" t="s">
        <v>21</v>
      </c>
      <c r="C1" s="1" t="s">
        <v>23</v>
      </c>
      <c r="D1" s="1" t="s">
        <v>25</v>
      </c>
      <c r="E1" s="1" t="s">
        <v>27</v>
      </c>
    </row>
    <row r="2">
      <c r="A2" s="2" t="s">
        <v>30</v>
      </c>
      <c r="B2" s="3">
        <v>40.0</v>
      </c>
      <c r="C2" s="3">
        <v>24.0</v>
      </c>
      <c r="D2" s="2" t="s">
        <v>32</v>
      </c>
      <c r="E2" s="2" t="s">
        <v>33</v>
      </c>
    </row>
    <row r="3">
      <c r="A3" s="2" t="s">
        <v>34</v>
      </c>
      <c r="B3" s="3">
        <v>1000.0</v>
      </c>
      <c r="C3" s="3">
        <v>600.0</v>
      </c>
      <c r="D3" s="2" t="s">
        <v>35</v>
      </c>
      <c r="E3" s="2" t="s">
        <v>36</v>
      </c>
    </row>
    <row r="4">
      <c r="A4" s="2" t="s">
        <v>37</v>
      </c>
      <c r="B4" s="3">
        <v>1.2</v>
      </c>
      <c r="C4" s="3">
        <v>1.2</v>
      </c>
      <c r="D4" s="2" t="s">
        <v>39</v>
      </c>
      <c r="E4" s="2" t="s">
        <v>40</v>
      </c>
    </row>
    <row r="5">
      <c r="A5" s="2" t="s">
        <v>41</v>
      </c>
      <c r="B5" s="3">
        <v>60.0</v>
      </c>
      <c r="C5" s="3">
        <v>60.0</v>
      </c>
      <c r="D5" s="2" t="s">
        <v>42</v>
      </c>
      <c r="E5" s="2" t="s">
        <v>44</v>
      </c>
    </row>
    <row r="6">
      <c r="A6" s="2" t="s">
        <v>45</v>
      </c>
      <c r="B6" s="3">
        <v>1800000.0</v>
      </c>
      <c r="C6" s="3">
        <v>1800000.0</v>
      </c>
      <c r="D6" s="2" t="s">
        <v>46</v>
      </c>
      <c r="E6" s="2" t="s">
        <v>47</v>
      </c>
    </row>
    <row r="7">
      <c r="A7" s="2" t="s">
        <v>48</v>
      </c>
      <c r="B7" s="3">
        <v>14000.0</v>
      </c>
      <c r="C7" s="3">
        <v>14000.0</v>
      </c>
      <c r="D7" s="2" t="s">
        <v>50</v>
      </c>
      <c r="E7" s="2" t="s">
        <v>51</v>
      </c>
    </row>
    <row r="8">
      <c r="A8" s="2" t="s">
        <v>52</v>
      </c>
      <c r="B8" s="3">
        <v>120.0</v>
      </c>
      <c r="C8" s="3">
        <v>80.0</v>
      </c>
      <c r="D8" s="2" t="s">
        <v>54</v>
      </c>
      <c r="E8" s="2" t="s">
        <v>55</v>
      </c>
    </row>
    <row r="9">
      <c r="A9" s="2" t="s">
        <v>56</v>
      </c>
      <c r="B9" s="3">
        <v>30.0</v>
      </c>
      <c r="C9" s="3">
        <v>30.0</v>
      </c>
      <c r="D9" s="2" t="s">
        <v>58</v>
      </c>
      <c r="E9" s="2" t="s">
        <v>59</v>
      </c>
    </row>
    <row r="10">
      <c r="A10" s="2" t="s">
        <v>61</v>
      </c>
      <c r="B10" s="3">
        <v>1000.0</v>
      </c>
      <c r="C10" s="3">
        <v>1000.0</v>
      </c>
      <c r="D10" s="2" t="s">
        <v>65</v>
      </c>
      <c r="E10" s="2" t="s">
        <v>67</v>
      </c>
    </row>
    <row r="11">
      <c r="A11" s="2" t="s">
        <v>69</v>
      </c>
      <c r="B11" s="3">
        <v>8000000.0</v>
      </c>
      <c r="C11" s="3">
        <v>8000000.0</v>
      </c>
      <c r="D11" s="2" t="s">
        <v>74</v>
      </c>
      <c r="E11" s="2" t="s">
        <v>77</v>
      </c>
    </row>
    <row r="12">
      <c r="A12" s="2" t="s">
        <v>80</v>
      </c>
      <c r="B12" s="3">
        <v>4000000.0</v>
      </c>
      <c r="C12" s="3">
        <v>4000000.0</v>
      </c>
      <c r="D12" s="2" t="s">
        <v>74</v>
      </c>
      <c r="E12" s="2" t="s">
        <v>87</v>
      </c>
    </row>
    <row r="13">
      <c r="A13" s="2" t="s">
        <v>89</v>
      </c>
      <c r="B13" s="3">
        <v>2000000.0</v>
      </c>
      <c r="C13" s="3">
        <v>2000000.0</v>
      </c>
      <c r="D13" s="2" t="s">
        <v>74</v>
      </c>
      <c r="E13" s="2" t="s">
        <v>94</v>
      </c>
    </row>
    <row r="14">
      <c r="A14" s="2" t="s">
        <v>97</v>
      </c>
      <c r="B14" s="7">
        <v>0.1</v>
      </c>
      <c r="C14" s="7">
        <v>0.1</v>
      </c>
      <c r="D14" s="2" t="s">
        <v>103</v>
      </c>
      <c r="E14" s="2" t="s">
        <v>105</v>
      </c>
    </row>
    <row r="15">
      <c r="A15" s="2" t="s">
        <v>108</v>
      </c>
      <c r="B15" s="7">
        <v>0.15</v>
      </c>
      <c r="C15" s="7">
        <v>0.15</v>
      </c>
      <c r="D15" s="2" t="s">
        <v>103</v>
      </c>
      <c r="E15" s="2" t="s">
        <v>109</v>
      </c>
    </row>
    <row r="16">
      <c r="A16" s="2" t="s">
        <v>110</v>
      </c>
      <c r="B16" s="3">
        <v>1500000.0</v>
      </c>
      <c r="C16" s="3">
        <v>1500000.0</v>
      </c>
      <c r="D16" s="2" t="s">
        <v>74</v>
      </c>
      <c r="E16" s="2" t="s">
        <v>113</v>
      </c>
    </row>
    <row r="17">
      <c r="A17" s="2" t="s">
        <v>115</v>
      </c>
      <c r="B17" s="3">
        <v>2000000.0</v>
      </c>
      <c r="C17" s="3">
        <v>2000000.0</v>
      </c>
      <c r="D17" s="2" t="s">
        <v>74</v>
      </c>
      <c r="E17" s="2" t="s">
        <v>119</v>
      </c>
    </row>
    <row r="18">
      <c r="A18" s="2" t="s">
        <v>120</v>
      </c>
      <c r="B18" s="3">
        <v>50000.0</v>
      </c>
      <c r="C18" s="3">
        <v>50000.0</v>
      </c>
      <c r="D18" s="2" t="s">
        <v>122</v>
      </c>
      <c r="E18" s="2" t="s">
        <v>124</v>
      </c>
    </row>
    <row r="19">
      <c r="A19" s="2" t="s">
        <v>126</v>
      </c>
      <c r="B19" s="3">
        <v>24.0</v>
      </c>
      <c r="C19" s="3">
        <v>24.0</v>
      </c>
      <c r="D19" s="2" t="s">
        <v>128</v>
      </c>
      <c r="E19" s="2" t="s">
        <v>130</v>
      </c>
    </row>
    <row r="20">
      <c r="A20" s="2" t="s">
        <v>131</v>
      </c>
      <c r="B20" s="3">
        <v>18.0</v>
      </c>
      <c r="C20" s="3">
        <v>18.0</v>
      </c>
      <c r="D20" s="2" t="s">
        <v>128</v>
      </c>
      <c r="E20" s="2" t="s">
        <v>132</v>
      </c>
    </row>
    <row r="21">
      <c r="A21" s="2" t="s">
        <v>135</v>
      </c>
      <c r="B21" s="7">
        <v>0.06</v>
      </c>
      <c r="C21" s="7">
        <v>0.06</v>
      </c>
      <c r="D21" s="2" t="s">
        <v>136</v>
      </c>
      <c r="E21" s="2" t="s">
        <v>137</v>
      </c>
    </row>
    <row r="22">
      <c r="A22" s="2" t="s">
        <v>139</v>
      </c>
      <c r="B22" s="7">
        <v>0.04</v>
      </c>
      <c r="C22" s="7">
        <v>0.04</v>
      </c>
      <c r="D22" s="2" t="s">
        <v>136</v>
      </c>
      <c r="E22" s="2" t="s">
        <v>145</v>
      </c>
    </row>
    <row r="23">
      <c r="A23" s="2" t="s">
        <v>148</v>
      </c>
      <c r="B23" s="7">
        <v>0.04</v>
      </c>
      <c r="C23" s="7">
        <v>0.04</v>
      </c>
      <c r="D23" s="2" t="s">
        <v>136</v>
      </c>
      <c r="E23" s="2" t="s">
        <v>154</v>
      </c>
    </row>
    <row r="24">
      <c r="A24" s="2" t="s">
        <v>156</v>
      </c>
      <c r="B24" s="3">
        <v>1500.0</v>
      </c>
      <c r="C24" s="3">
        <v>1500.0</v>
      </c>
      <c r="D24" s="2" t="s">
        <v>158</v>
      </c>
      <c r="E24" s="2" t="s">
        <v>159</v>
      </c>
    </row>
    <row r="25">
      <c r="A25" s="2" t="s">
        <v>161</v>
      </c>
      <c r="B25" s="11">
        <v>0.45</v>
      </c>
      <c r="C25" s="7">
        <v>0.45</v>
      </c>
      <c r="D25" s="2" t="s">
        <v>103</v>
      </c>
      <c r="E25" s="2" t="s">
        <v>169</v>
      </c>
    </row>
    <row r="26">
      <c r="A26" s="2" t="s">
        <v>170</v>
      </c>
      <c r="B26" s="7">
        <v>0.2</v>
      </c>
      <c r="C26" s="7">
        <v>0.2</v>
      </c>
      <c r="D26" s="2" t="s">
        <v>174</v>
      </c>
      <c r="E26" s="2" t="s">
        <v>175</v>
      </c>
    </row>
    <row r="27">
      <c r="A27" s="2" t="s">
        <v>176</v>
      </c>
      <c r="B27" s="7">
        <v>0.35</v>
      </c>
      <c r="C27" s="7">
        <v>0.35</v>
      </c>
      <c r="D27" s="2" t="s">
        <v>177</v>
      </c>
      <c r="E27" s="2" t="s">
        <v>178</v>
      </c>
    </row>
    <row r="28">
      <c r="A28" s="2" t="s">
        <v>180</v>
      </c>
      <c r="B28" s="3">
        <v>4000000.0</v>
      </c>
      <c r="C28" s="13">
        <v>4000000.0</v>
      </c>
      <c r="D28" s="2" t="s">
        <v>185</v>
      </c>
      <c r="E28" s="2" t="s">
        <v>187</v>
      </c>
    </row>
    <row r="29">
      <c r="A29" s="2" t="s">
        <v>191</v>
      </c>
      <c r="B29" s="7">
        <v>0.04</v>
      </c>
      <c r="C29" s="7">
        <v>0.04</v>
      </c>
      <c r="D29" s="2" t="s">
        <v>177</v>
      </c>
      <c r="E29" s="2" t="s">
        <v>193</v>
      </c>
    </row>
    <row r="30">
      <c r="A30" s="2" t="s">
        <v>194</v>
      </c>
      <c r="B30" s="3">
        <v>100.0</v>
      </c>
      <c r="C30" s="3">
        <v>100.0</v>
      </c>
      <c r="D30" s="2" t="s">
        <v>196</v>
      </c>
      <c r="E30" s="2" t="s">
        <v>197</v>
      </c>
    </row>
    <row r="31">
      <c r="A31" s="2" t="s">
        <v>198</v>
      </c>
      <c r="B31" s="7">
        <v>0.85</v>
      </c>
      <c r="C31" s="7">
        <v>0.85</v>
      </c>
      <c r="D31" s="2" t="s">
        <v>103</v>
      </c>
      <c r="E31" s="2" t="s">
        <v>199</v>
      </c>
    </row>
    <row r="32">
      <c r="A32" s="2" t="s">
        <v>200</v>
      </c>
      <c r="B32" s="7">
        <v>0.25</v>
      </c>
      <c r="C32" s="7">
        <v>0.25</v>
      </c>
      <c r="D32" s="2" t="s">
        <v>201</v>
      </c>
      <c r="E32" s="2" t="s">
        <v>202</v>
      </c>
    </row>
    <row r="33">
      <c r="A33" s="2" t="s">
        <v>203</v>
      </c>
      <c r="B33" s="3">
        <v>600000.0</v>
      </c>
      <c r="C33" s="3">
        <v>600000.0</v>
      </c>
      <c r="D33" s="2" t="s">
        <v>185</v>
      </c>
      <c r="E33" s="2" t="s">
        <v>204</v>
      </c>
    </row>
    <row r="34">
      <c r="A34" s="2" t="s">
        <v>205</v>
      </c>
      <c r="B34" s="7">
        <v>0.1</v>
      </c>
      <c r="C34" s="7">
        <v>0.1</v>
      </c>
      <c r="D34" s="2" t="s">
        <v>103</v>
      </c>
      <c r="E34" s="2" t="s">
        <v>206</v>
      </c>
    </row>
    <row r="35">
      <c r="A35" s="2" t="s">
        <v>207</v>
      </c>
      <c r="B35" s="7">
        <v>0.6</v>
      </c>
      <c r="C35" s="7">
        <v>0.6</v>
      </c>
      <c r="D35" s="2" t="s">
        <v>103</v>
      </c>
      <c r="E35" s="2" t="s">
        <v>208</v>
      </c>
    </row>
    <row r="36">
      <c r="A36" s="2" t="s">
        <v>209</v>
      </c>
      <c r="B36" s="7">
        <v>0.115</v>
      </c>
      <c r="C36" s="7">
        <v>0.115</v>
      </c>
      <c r="D36" s="2" t="s">
        <v>136</v>
      </c>
      <c r="E36" s="2" t="s">
        <v>210</v>
      </c>
    </row>
    <row r="37">
      <c r="A37" s="2" t="s">
        <v>211</v>
      </c>
      <c r="B37" s="3">
        <v>15.0</v>
      </c>
      <c r="C37" s="3">
        <v>15.0</v>
      </c>
      <c r="D37" s="2" t="s">
        <v>212</v>
      </c>
      <c r="E37" s="2" t="s">
        <v>213</v>
      </c>
    </row>
    <row r="38">
      <c r="A38" s="2" t="s">
        <v>214</v>
      </c>
      <c r="B38" s="7">
        <v>0.015</v>
      </c>
      <c r="C38" s="7">
        <v>0.015</v>
      </c>
      <c r="D38" s="2" t="s">
        <v>215</v>
      </c>
      <c r="E38" s="2" t="s">
        <v>216</v>
      </c>
    </row>
    <row r="39">
      <c r="A39" s="2" t="s">
        <v>217</v>
      </c>
      <c r="B39" s="3">
        <v>12.0</v>
      </c>
      <c r="C39" s="3">
        <v>12.0</v>
      </c>
      <c r="D39" s="2" t="s">
        <v>128</v>
      </c>
      <c r="E39" s="2" t="s">
        <v>218</v>
      </c>
    </row>
    <row r="40">
      <c r="A40" s="2" t="s">
        <v>219</v>
      </c>
      <c r="B40" s="7">
        <v>0.3</v>
      </c>
      <c r="C40" s="7">
        <v>0.3</v>
      </c>
      <c r="D40" s="2" t="s">
        <v>103</v>
      </c>
      <c r="E40" s="2" t="s">
        <v>220</v>
      </c>
    </row>
    <row r="41">
      <c r="A41" s="2" t="s">
        <v>221</v>
      </c>
      <c r="B41" s="3">
        <v>10.0</v>
      </c>
      <c r="C41" s="3">
        <v>10.0</v>
      </c>
      <c r="D41" s="2" t="s">
        <v>222</v>
      </c>
      <c r="E41" s="2" t="s">
        <v>223</v>
      </c>
    </row>
    <row r="42">
      <c r="A42" s="2" t="s">
        <v>224</v>
      </c>
      <c r="B42" s="7">
        <v>0.1</v>
      </c>
      <c r="C42" s="7">
        <v>0.1</v>
      </c>
      <c r="D42" s="2" t="s">
        <v>103</v>
      </c>
      <c r="E42" s="2" t="s">
        <v>225</v>
      </c>
    </row>
    <row r="43">
      <c r="A43" s="2" t="s">
        <v>226</v>
      </c>
      <c r="B43" s="7">
        <v>0.02</v>
      </c>
      <c r="C43" s="7">
        <v>0.02</v>
      </c>
      <c r="D43" s="2" t="s">
        <v>227</v>
      </c>
      <c r="E43" s="2" t="s">
        <v>228</v>
      </c>
    </row>
    <row r="44">
      <c r="A44" s="2" t="s">
        <v>229</v>
      </c>
      <c r="B44" s="3">
        <v>2.0E7</v>
      </c>
      <c r="C44" s="3">
        <v>2.0E7</v>
      </c>
      <c r="D44" s="2" t="s">
        <v>74</v>
      </c>
      <c r="E44" s="2" t="s">
        <v>230</v>
      </c>
    </row>
    <row r="45">
      <c r="A45" s="2" t="s">
        <v>231</v>
      </c>
      <c r="B45" s="7">
        <v>0.15</v>
      </c>
      <c r="C45" s="7">
        <v>0.15</v>
      </c>
      <c r="D45" s="2" t="s">
        <v>103</v>
      </c>
      <c r="E45" s="2" t="s">
        <v>232</v>
      </c>
    </row>
    <row r="46">
      <c r="A46" s="2" t="s">
        <v>233</v>
      </c>
      <c r="B46" s="3">
        <v>1.3</v>
      </c>
      <c r="C46" s="3">
        <v>1.3</v>
      </c>
      <c r="D46" s="2" t="s">
        <v>234</v>
      </c>
      <c r="E46" s="2" t="s">
        <v>235</v>
      </c>
    </row>
    <row r="47">
      <c r="A47" s="2" t="s">
        <v>236</v>
      </c>
      <c r="B47" s="3">
        <v>1.0</v>
      </c>
      <c r="C47" s="3">
        <v>1.0</v>
      </c>
      <c r="D47" s="2" t="s">
        <v>237</v>
      </c>
      <c r="E47" s="2" t="s">
        <v>238</v>
      </c>
    </row>
  </sheetData>
  <autoFilter ref="$A$1:$E$47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46.38"/>
    <col customWidth="1" min="2" max="3" width="23.88"/>
    <col customWidth="1" min="4" max="4" width="81.38"/>
  </cols>
  <sheetData>
    <row r="1">
      <c r="A1" s="1" t="s">
        <v>62</v>
      </c>
      <c r="B1" s="1" t="s">
        <v>71</v>
      </c>
      <c r="C1" s="1" t="s">
        <v>75</v>
      </c>
      <c r="D1" s="1" t="s">
        <v>78</v>
      </c>
    </row>
    <row r="2">
      <c r="A2" s="2" t="s">
        <v>83</v>
      </c>
      <c r="B2" s="9">
        <f t="shared" ref="B2:C2" si="1">5.3106+3.4576+2.1208</f>
        <v>10.889</v>
      </c>
      <c r="C2" s="9">
        <f t="shared" si="1"/>
        <v>10.889</v>
      </c>
      <c r="D2" s="2" t="s">
        <v>121</v>
      </c>
    </row>
    <row r="3">
      <c r="A3" s="2" t="s">
        <v>123</v>
      </c>
      <c r="B3" s="9">
        <f>Drivers!B2*Drivers!B5</f>
        <v>2400</v>
      </c>
      <c r="C3" s="9">
        <f>Drivers!C2*Drivers!C5</f>
        <v>1440</v>
      </c>
      <c r="D3" s="2"/>
    </row>
    <row r="4">
      <c r="A4" s="2" t="s">
        <v>157</v>
      </c>
      <c r="B4" s="9">
        <f>Drivers!B3*Drivers!B4</f>
        <v>1200</v>
      </c>
      <c r="C4" s="9">
        <f>Drivers!C3*Drivers!C4</f>
        <v>720</v>
      </c>
      <c r="D4" s="2"/>
    </row>
    <row r="5">
      <c r="A5" s="2" t="s">
        <v>172</v>
      </c>
      <c r="B5" s="9">
        <f>Drivers!B8*Drivers!B9</f>
        <v>3600</v>
      </c>
      <c r="C5" s="9">
        <f>Drivers!C8*Drivers!C9</f>
        <v>2400</v>
      </c>
      <c r="D5" s="2"/>
    </row>
    <row r="6">
      <c r="A6" s="2" t="s">
        <v>189</v>
      </c>
      <c r="B6" s="14">
        <f>Drivers!B2*Drivers!B6</f>
        <v>72000000</v>
      </c>
      <c r="C6" s="14">
        <f>Drivers!C2*Drivers!C6</f>
        <v>43200000</v>
      </c>
      <c r="D6" s="2"/>
    </row>
    <row r="7">
      <c r="A7" s="2" t="s">
        <v>195</v>
      </c>
      <c r="B7" s="14">
        <f>B4*Drivers!B7</f>
        <v>16800000</v>
      </c>
      <c r="C7" s="14">
        <f>C4*Drivers!C7</f>
        <v>10080000</v>
      </c>
      <c r="D7" s="2"/>
    </row>
    <row r="8">
      <c r="A8" s="2" t="s">
        <v>256</v>
      </c>
      <c r="B8" s="14">
        <f>B5*Drivers!B10</f>
        <v>3600000</v>
      </c>
      <c r="C8" s="14">
        <f>C5*Drivers!C10</f>
        <v>2400000</v>
      </c>
      <c r="D8" s="2"/>
    </row>
    <row r="9">
      <c r="A9" s="2" t="s">
        <v>300</v>
      </c>
      <c r="B9" s="14">
        <f>Drivers!B11+Drivers!B12+Drivers!B13</f>
        <v>14000000</v>
      </c>
      <c r="C9" s="14">
        <f>Drivers!C11+Drivers!C12+Drivers!C13</f>
        <v>14000000</v>
      </c>
      <c r="D9" s="2"/>
    </row>
    <row r="10">
      <c r="A10" s="2" t="s">
        <v>322</v>
      </c>
      <c r="B10" s="14">
        <f t="shared" ref="B10:C10" si="2">SUM(B6:B9)</f>
        <v>106400000</v>
      </c>
      <c r="C10" s="14">
        <f t="shared" si="2"/>
        <v>69680000</v>
      </c>
      <c r="D10" s="2"/>
    </row>
    <row r="11">
      <c r="A11" s="2" t="s">
        <v>328</v>
      </c>
      <c r="B11" s="14">
        <f>B10*Drivers!B14</f>
        <v>10640000</v>
      </c>
      <c r="C11" s="14">
        <f>C10*Drivers!C14</f>
        <v>6968000</v>
      </c>
      <c r="D11" s="2"/>
    </row>
    <row r="12">
      <c r="A12" s="2" t="s">
        <v>330</v>
      </c>
      <c r="B12" s="14">
        <f>(B10+B11)*Drivers!B15</f>
        <v>17556000</v>
      </c>
      <c r="C12" s="14">
        <f>(C10+C11)*Drivers!C15</f>
        <v>11497200</v>
      </c>
      <c r="D12" s="2"/>
    </row>
    <row r="13">
      <c r="A13" s="2" t="s">
        <v>333</v>
      </c>
      <c r="B13" s="14">
        <f>SUM(B10:B12)+Drivers!B16+Drivers!B17+(Drivers!B19+Drivers!B20)*Drivers!B18</f>
        <v>140196000</v>
      </c>
      <c r="C13" s="14">
        <f>SUM(C10:C12)+Drivers!C16+Drivers!C17+(Drivers!C19+Drivers!C20)*Drivers!C18</f>
        <v>93745200</v>
      </c>
      <c r="D13" s="2" t="s">
        <v>355</v>
      </c>
    </row>
    <row r="14">
      <c r="A14" s="2" t="s">
        <v>357</v>
      </c>
      <c r="B14" s="14">
        <f>SUM(Monthly_A!J2:J242)</f>
        <v>164244770.1</v>
      </c>
      <c r="C14" s="14">
        <f>SUM(Monthly_B!J2:J242)</f>
        <v>109703949</v>
      </c>
      <c r="D14" s="2" t="s">
        <v>373</v>
      </c>
    </row>
    <row r="15">
      <c r="A15" s="2" t="s">
        <v>374</v>
      </c>
      <c r="B15" s="14">
        <f t="shared" ref="B15:C15" si="3">B14-B13</f>
        <v>24048770.12</v>
      </c>
      <c r="C15" s="14">
        <f t="shared" si="3"/>
        <v>15958748.99</v>
      </c>
      <c r="D15" s="2"/>
    </row>
    <row r="16">
      <c r="A16" s="2" t="s">
        <v>377</v>
      </c>
      <c r="B16" s="9">
        <f>Drivers!B19+Drivers!B20+1</f>
        <v>43</v>
      </c>
      <c r="C16" s="9">
        <f>Drivers!C19+Drivers!C20+1</f>
        <v>43</v>
      </c>
      <c r="D16" s="2"/>
    </row>
    <row r="17">
      <c r="A17" s="2" t="s">
        <v>378</v>
      </c>
      <c r="B17" s="9">
        <f>Drivers!B19+Drivers!B20+Drivers!B39</f>
        <v>54</v>
      </c>
      <c r="C17" s="9">
        <f>Drivers!C19+Drivers!C20+Drivers!C39</f>
        <v>54</v>
      </c>
      <c r="D17" s="2"/>
    </row>
    <row r="18">
      <c r="A18" s="2" t="s">
        <v>379</v>
      </c>
      <c r="B18" s="9">
        <f>Drivers!B19+Drivers!B20+Drivers!B41*12</f>
        <v>162</v>
      </c>
      <c r="C18" s="9">
        <f>Drivers!C19+Drivers!C20+Drivers!C41*12</f>
        <v>162</v>
      </c>
      <c r="D18" s="2"/>
    </row>
    <row r="19">
      <c r="A19" s="2" t="s">
        <v>382</v>
      </c>
      <c r="B19" s="14">
        <f>Drivers!B2*365*Drivers!B24*Drivers!B25*(1+Drivers!B26)</f>
        <v>11826000</v>
      </c>
      <c r="C19" s="14">
        <f>Drivers!C2*365*Drivers!C24*Drivers!C25*(1+Drivers!C26)</f>
        <v>7095600</v>
      </c>
      <c r="D19" s="2"/>
    </row>
    <row r="20">
      <c r="A20" s="2" t="s">
        <v>383</v>
      </c>
      <c r="B20" s="14">
        <f>B19*(1-Drivers!B27-Drivers!B29)-Drivers!B28</f>
        <v>3213860</v>
      </c>
      <c r="C20" s="14">
        <f>C19*(1-Drivers!C27-Drivers!C29)-Drivers!C28</f>
        <v>328316</v>
      </c>
      <c r="D20" s="2"/>
    </row>
    <row r="21">
      <c r="A21" s="2" t="s">
        <v>387</v>
      </c>
      <c r="B21" s="14">
        <f>Drivers!B3*Drivers!B30*12*Drivers!B31*(1-Drivers!B32)</f>
        <v>765000</v>
      </c>
      <c r="C21" s="14">
        <f>Drivers!C3*Drivers!C30*12*Drivers!C31*(1-Drivers!C32)</f>
        <v>459000</v>
      </c>
      <c r="D21" s="2"/>
    </row>
    <row r="22">
      <c r="A22" s="2" t="s">
        <v>388</v>
      </c>
      <c r="B22" s="14">
        <f>B20+B21-Drivers!B33</f>
        <v>3378860</v>
      </c>
      <c r="C22" s="14">
        <f>C20+C21-Drivers!C33</f>
        <v>187316</v>
      </c>
      <c r="D22" s="2"/>
    </row>
    <row r="23">
      <c r="A23" s="2" t="s">
        <v>389</v>
      </c>
      <c r="B23" s="12">
        <f t="shared" ref="B23:C23" si="4">B22/B13</f>
        <v>0.02410097292</v>
      </c>
      <c r="C23" s="12">
        <f t="shared" si="4"/>
        <v>0.001998139638</v>
      </c>
      <c r="D23" s="2" t="s">
        <v>392</v>
      </c>
    </row>
    <row r="24">
      <c r="A24" s="2" t="s">
        <v>393</v>
      </c>
      <c r="B24" s="14">
        <f>(B19*(1-Drivers!B27-Drivers!B29)+B21)*(1+Drivers!B22)^(B17/12)-(Drivers!B28+Drivers!B33 )*(1+Drivers!B23)^(B17/12)</f>
        <v>4031068.929</v>
      </c>
      <c r="C24" s="14">
        <f>(C19*(1-Drivers!C27-Drivers!C29)+C21)*(1+Drivers!C22)^(C17/12)-(Drivers!C28+Drivers!C33 )*(1+Drivers!C23)^(C17/12)</f>
        <v>223472.9191</v>
      </c>
      <c r="D24" s="2" t="s">
        <v>394</v>
      </c>
    </row>
    <row r="25">
      <c r="A25" s="2" t="s">
        <v>395</v>
      </c>
      <c r="B25" s="12">
        <f t="shared" ref="B25:C25" si="5">B24/B14</f>
        <v>0.02454305806</v>
      </c>
      <c r="C25" s="12">
        <f t="shared" si="5"/>
        <v>0.002037054465</v>
      </c>
      <c r="D25" s="2" t="s">
        <v>396</v>
      </c>
    </row>
    <row r="26">
      <c r="A26" s="2" t="s">
        <v>397</v>
      </c>
      <c r="B26" s="14">
        <f>SUMIFS(Monthly_A!S2:S242,Monthly_A!A2:A242,"&gt;"&amp;B17,Monthly_A!A2:A242,"&lt;="&amp;(B17+12))</f>
        <v>4141418.309</v>
      </c>
      <c r="C26" s="14">
        <f>SUMIFS(Monthly_B!S2:S242,Monthly_B!A2:A242,"&gt;"&amp;C17,Monthly_B!A2:A242,"&lt;="&amp;(C17+12))</f>
        <v>242405.5506</v>
      </c>
      <c r="D26" s="2" t="s">
        <v>405</v>
      </c>
    </row>
    <row r="27">
      <c r="A27" s="2" t="s">
        <v>406</v>
      </c>
      <c r="B27" s="14">
        <f>B14*Drivers!B35</f>
        <v>98546862.07</v>
      </c>
      <c r="C27" s="14">
        <f>C14*Drivers!C35</f>
        <v>65822369.4</v>
      </c>
      <c r="D27" s="2"/>
    </row>
    <row r="28">
      <c r="A28" s="2" t="s">
        <v>408</v>
      </c>
      <c r="B28" s="14">
        <f>-PMT(Drivers!B36/12,Drivers!B37*12,B27)*12</f>
        <v>13814572.81</v>
      </c>
      <c r="C28" s="14">
        <f>-PMT(Drivers!C36/12,Drivers!C37*12,C27)*12</f>
        <v>9227162.543</v>
      </c>
      <c r="D28" s="2"/>
    </row>
    <row r="29">
      <c r="A29" s="2" t="s">
        <v>410</v>
      </c>
      <c r="B29" s="9">
        <f t="shared" ref="B29:C29" si="6">IFERROR(B24/B28,0)</f>
        <v>0.2917983049</v>
      </c>
      <c r="C29" s="9">
        <f t="shared" si="6"/>
        <v>0.02421902921</v>
      </c>
      <c r="D29" s="2" t="s">
        <v>414</v>
      </c>
    </row>
    <row r="30">
      <c r="A30" s="2" t="s">
        <v>415</v>
      </c>
      <c r="B30" s="14">
        <f>PV(Drivers!B36/12,Drivers!B37*12,-MAX(0,B24)/Drivers!B46/12)</f>
        <v>22119851.78</v>
      </c>
      <c r="C30" s="14">
        <f>PV(Drivers!C36/12,Drivers!C37*12,-MAX(0,C24)/Drivers!C46/12)</f>
        <v>1226272.221</v>
      </c>
      <c r="D30" s="2"/>
    </row>
    <row r="31">
      <c r="A31" s="2" t="s">
        <v>419</v>
      </c>
      <c r="B31" s="14">
        <f>IF(Drivers!B47=1,MIN(B27,B30),B27)</f>
        <v>22119851.78</v>
      </c>
      <c r="C31" s="14">
        <f>IF(Drivers!C47=1,MIN(C27,C30),C27)</f>
        <v>1226272.221</v>
      </c>
      <c r="D31" s="2" t="s">
        <v>428</v>
      </c>
    </row>
    <row r="32">
      <c r="A32" s="2" t="s">
        <v>431</v>
      </c>
      <c r="B32" s="14">
        <f>-PMT(Drivers!B36/12,Drivers!B37*12,B31)*12</f>
        <v>3100822.253</v>
      </c>
      <c r="C32" s="14">
        <f>-PMT(Drivers!C36/12,Drivers!C37*12,C31)*12</f>
        <v>171902.2455</v>
      </c>
      <c r="D32" s="2"/>
    </row>
    <row r="33">
      <c r="A33" s="2" t="s">
        <v>454</v>
      </c>
      <c r="B33" s="9">
        <f t="shared" ref="B33:C33" si="7">IFERROR(B24/B32,0)</f>
        <v>1.3</v>
      </c>
      <c r="C33" s="9">
        <f t="shared" si="7"/>
        <v>1.3</v>
      </c>
      <c r="D33" s="2"/>
    </row>
    <row r="34">
      <c r="A34" s="2" t="s">
        <v>467</v>
      </c>
      <c r="B34" s="9">
        <f>IFERROR(SUMIFS(Monthly_A!S2:S242,Monthly_A!A2:A242,"&gt;="&amp;B16,Monthly_A!A2:A242,"&lt;"&amp;(B16+12))/(SUMIFS(Monthly_A!V2:V242,Monthly_A!A2:A242,"&gt;="&amp;B16,Monthly_A!A2:A242,"&lt;"&amp;(B16+12))+SUMIFS(Monthly_A!W2:W242,Monthly_A!A2:A242,"&gt;="&amp;B16,Monthly_A!A2:A242,"&lt;"&amp;(B16+12))),0)</f>
        <v>0.5866333913</v>
      </c>
      <c r="C34" s="9">
        <f>IFERROR(SUMIFS(Monthly_B!S2:S242,Monthly_B!A2:A242,"&gt;="&amp;C16,Monthly_B!A2:A242,"&lt;"&amp;(C16+12))/(SUMIFS(Monthly_B!V2:V242,Monthly_B!A2:A242,"&gt;="&amp;C16,Monthly_B!A2:A242,"&lt;"&amp;(C16+12))+SUMIFS(Monthly_B!W2:W242,Monthly_B!A2:A242,"&gt;="&amp;C16,Monthly_B!A2:A242,"&lt;"&amp;(C16+12))),0)</f>
        <v>-6.194043631</v>
      </c>
      <c r="D34" s="2" t="s">
        <v>522</v>
      </c>
    </row>
    <row r="35">
      <c r="A35" s="2" t="s">
        <v>523</v>
      </c>
      <c r="B35" s="14">
        <f>SUMIFS(Monthly_A!V2:V242,Monthly_A!A2:A242,"&lt;"&amp;B16)</f>
        <v>1907837.216</v>
      </c>
      <c r="C35" s="14">
        <f>SUMIFS(Monthly_B!V2:V242,Monthly_B!A2:A242,"&lt;"&amp;C16)</f>
        <v>105765.979</v>
      </c>
      <c r="D35" s="2"/>
    </row>
    <row r="36">
      <c r="A36" s="2" t="s">
        <v>524</v>
      </c>
      <c r="B36" s="14">
        <f>SUM(Monthly_A!X2:X242)</f>
        <v>331797.7766</v>
      </c>
      <c r="C36" s="14">
        <f>SUM(Monthly_B!X2:X242)</f>
        <v>18394.08331</v>
      </c>
      <c r="D36" s="2"/>
    </row>
    <row r="37">
      <c r="A37" s="2" t="s">
        <v>525</v>
      </c>
      <c r="B37" s="14">
        <f t="shared" ref="B37:C37" si="8">B14+B35+B36</f>
        <v>166484405.1</v>
      </c>
      <c r="C37" s="14">
        <f t="shared" si="8"/>
        <v>109828109.1</v>
      </c>
      <c r="D37" s="2" t="s">
        <v>526</v>
      </c>
    </row>
    <row r="38">
      <c r="A38" s="2" t="s">
        <v>527</v>
      </c>
      <c r="B38" s="14">
        <f>-MIN(0,Monthly_A!AA2:AA242)</f>
        <v>145745670.8</v>
      </c>
      <c r="C38" s="14">
        <f>-MIN(0,Monthly_B!AA2:AA242)</f>
        <v>109838509.1</v>
      </c>
      <c r="D38" s="2" t="s">
        <v>528</v>
      </c>
    </row>
    <row r="39">
      <c r="A39" s="2" t="s">
        <v>529</v>
      </c>
      <c r="B39" s="14">
        <f>SUM(Monthly_A!AC2:AC242)</f>
        <v>24298518.82</v>
      </c>
      <c r="C39" s="14">
        <f>SUM(Monthly_B!AC2:AC242)</f>
        <v>16117395.65</v>
      </c>
      <c r="D39" s="2" t="s">
        <v>530</v>
      </c>
    </row>
    <row r="40">
      <c r="A40" s="2" t="s">
        <v>531</v>
      </c>
      <c r="B40" s="14">
        <f>MAX(0,SUMIFS(Monthly_A!S2:S242,Monthly_A!A2:A242,"&gt;"&amp;B18,Monthly_A!A2:A242,"&lt;="&amp;(B18+12)))/Drivers!B42*(1-Drivers!B43)</f>
        <v>57424344.2</v>
      </c>
      <c r="C40" s="14">
        <f>MAX(0,SUMIFS(Monthly_B!S2:S242,Monthly_B!A2:A242,"&gt;"&amp;C18,Monthly_B!A2:A242,"&lt;="&amp;(C18+12)))/Drivers!C42*(1-Drivers!C43)</f>
        <v>3175955.582</v>
      </c>
      <c r="D40" s="2" t="s">
        <v>532</v>
      </c>
    </row>
    <row r="41">
      <c r="A41" s="2" t="s">
        <v>533</v>
      </c>
      <c r="B41" s="14">
        <f t="array" ref="B41">INDEX(Monthly_A!Y2:Y242,B18+1)</f>
        <v>11749487</v>
      </c>
      <c r="C41" s="14">
        <f t="array" ref="C41">INDEX(Monthly_B!Y2:Y242,C18+1)</f>
        <v>651363.7459</v>
      </c>
      <c r="D41" s="2"/>
    </row>
    <row r="42">
      <c r="A42" s="2" t="s">
        <v>534</v>
      </c>
      <c r="B42" s="12">
        <f>IFERROR(XIRR(Monthly_A!AD2:AD242,Monthly_A!B2:B242),"NO VALID IRR")</f>
        <v>-0.05054876138</v>
      </c>
      <c r="C42" s="12">
        <f>IFERROR(XIRR(Monthly_B!AD2:AD242,Monthly_B!B2:B242),"NO VALID IRR")</f>
        <v>-0.2650387686</v>
      </c>
      <c r="D42" s="2" t="s">
        <v>535</v>
      </c>
    </row>
    <row r="43">
      <c r="A43" s="2" t="s">
        <v>536</v>
      </c>
      <c r="B43" s="12">
        <f>IFERROR(XIRR(Monthly_A!AE2:AE242,Monthly_A!B2:B242),"NO VALID IRR")</f>
        <v>-0.08304576511</v>
      </c>
      <c r="C43" s="12">
        <f>IFERROR(XIRR(Monthly_B!AE2:AE242,Monthly_B!B2:B242),"NO VALID IRR")</f>
        <v>-0.2883102198</v>
      </c>
      <c r="D43" s="2" t="s">
        <v>537</v>
      </c>
    </row>
    <row r="44">
      <c r="A44" s="2" t="s">
        <v>538</v>
      </c>
      <c r="B44" s="12">
        <f>IFERROR(XIRR(Monthly_A!AF2:AF242,Monthly_A!B2:B242),"NO VALID IRR")</f>
        <v>-0.06054577682</v>
      </c>
      <c r="C44" s="12">
        <f>IFERROR(XIRR(Monthly_B!AF2:AF242,Monthly_B!B2:B242),"NO VALID IRR")</f>
        <v>-0.2702687995</v>
      </c>
      <c r="D44" s="2" t="s">
        <v>539</v>
      </c>
    </row>
    <row r="45">
      <c r="A45" s="2" t="s">
        <v>540</v>
      </c>
      <c r="B45" s="9">
        <f>SUMIF(Monthly_A!AD2:AD242,"&gt;0",Monthly_A!AD2:AD242)/-SUMIF(Monthly_A!AD2:AD242,"&lt;0",Monthly_A!AD2:AD242)</f>
        <v>0.626539437</v>
      </c>
      <c r="C45" s="9">
        <f>SUMIF(Monthly_B!AD2:AD242,"&gt;0",Monthly_B!AD2:AD242)/-SUMIF(Monthly_B!AD2:AD242,"&lt;0",Monthly_B!AD2:AD242)</f>
        <v>0.05195623213</v>
      </c>
      <c r="D45" s="2"/>
    </row>
    <row r="46">
      <c r="A46" s="2" t="s">
        <v>541</v>
      </c>
      <c r="B46" s="9">
        <f>SUMIF(Monthly_A!AE2:AE242,"&gt;0",Monthly_A!AE2:AE242)/-SUMIF(Monthly_A!AE2:AE242,"&lt;0",Monthly_A!AE2:AE242)</f>
        <v>0.4221177687</v>
      </c>
      <c r="C46" s="9">
        <f>SUMIF(Monthly_B!AE2:AE242,"&gt;0",Monthly_B!AE2:AE242)/-SUMIF(Monthly_B!AE2:AE242,"&lt;0",Monthly_B!AE2:AE242)</f>
        <v>0.03343999454</v>
      </c>
      <c r="D46" s="2"/>
    </row>
    <row r="47">
      <c r="A47" s="2" t="s">
        <v>542</v>
      </c>
      <c r="B47" s="14">
        <f>B14*Drivers!B34</f>
        <v>16424477.01</v>
      </c>
      <c r="C47" s="14">
        <f>C14*Drivers!C34</f>
        <v>10970394.9</v>
      </c>
      <c r="D47" s="2"/>
    </row>
    <row r="48">
      <c r="A48" s="2" t="s">
        <v>543</v>
      </c>
      <c r="B48" s="12">
        <f>(B47+(Drivers!B28+Drivers!B33)*(1+Drivers!B23)^(B17/12)-B21*(1+Drivers!B22)^(B17/12))/(Drivers!B2*365*Drivers!B24*(1+Drivers!B22)^(B17/12)*(1+Drivers!B26)*(1-Drivers!B27-Drivers!B29))</f>
        <v>1.098015699</v>
      </c>
      <c r="C48" s="12">
        <f>(C47+(Drivers!C28+Drivers!C33)*(1+Drivers!C23)^(C17/12)-C21*(1+Drivers!C22)^(C17/12))/(Drivers!C2*365*Drivers!C24*(1+Drivers!C22)^(C17/12)*(1+Drivers!C26)*(1-Drivers!C27-Drivers!C29))</f>
        <v>1.386542786</v>
      </c>
      <c r="D48" s="2" t="s">
        <v>544</v>
      </c>
    </row>
    <row r="49">
      <c r="A49" s="2" t="s">
        <v>545</v>
      </c>
      <c r="B49" s="14">
        <f>B24/Drivers!B34</f>
        <v>40310689.29</v>
      </c>
      <c r="C49" s="14">
        <f>C24/Drivers!C34</f>
        <v>2234729.191</v>
      </c>
      <c r="D49" s="2"/>
    </row>
    <row r="50">
      <c r="A50" s="2" t="s">
        <v>546</v>
      </c>
      <c r="B50" s="14">
        <f t="shared" ref="B50:C50" si="9">B14-B49</f>
        <v>123934080.8</v>
      </c>
      <c r="C50" s="14">
        <f t="shared" si="9"/>
        <v>107469219.8</v>
      </c>
      <c r="D50" s="2"/>
    </row>
    <row r="51">
      <c r="A51" s="2" t="s">
        <v>547</v>
      </c>
      <c r="B51" s="9">
        <f>IFERROR(B26/(SUMIFS(Monthly_A!V2:V242,Monthly_A!A2:A242,"&gt;"&amp;B17,Monthly_A!A2:A242,"&lt;="&amp;(B17+12))+SUMIFS(Monthly_A!W2:W242,Monthly_A!A2:A242,"&gt;"&amp;B17,Monthly_A!A2:A242,"&lt;="&amp;(B17+12))),0)</f>
        <v>1.335587135</v>
      </c>
      <c r="C51" s="9">
        <f>IFERROR(C26/(SUMIFS(Monthly_B!V2:V242,Monthly_B!A2:A242,"&gt;"&amp;C17,Monthly_B!A2:A242,"&lt;="&amp;(C17+12))+SUMIFS(Monthly_B!W2:W242,Monthly_B!A2:A242,"&gt;"&amp;C17,Monthly_B!A2:A242,"&lt;="&amp;(C17+12))),0)</f>
        <v>1.410136034</v>
      </c>
      <c r="D51" s="2"/>
    </row>
    <row r="52">
      <c r="A52" s="2" t="s">
        <v>548</v>
      </c>
      <c r="B52" s="14">
        <f t="shared" ref="B52:C52" si="10">B38+B39</f>
        <v>170044189.6</v>
      </c>
      <c r="C52" s="14">
        <f t="shared" si="10"/>
        <v>125955904.7</v>
      </c>
      <c r="D52" s="2" t="s">
        <v>549</v>
      </c>
    </row>
    <row r="53">
      <c r="A53" s="2" t="s">
        <v>550</v>
      </c>
      <c r="B53" s="14">
        <f>SUMIFS(Monthly_A!S2:S242,Monthly_A!A2:A242,"&gt;="&amp;B16,Monthly_A!A2:A242,"&lt;"&amp;(B16+12))</f>
        <v>1819045.874</v>
      </c>
      <c r="C53" s="14">
        <f>SUMIFS(Monthly_B!S2:S242,Monthly_B!A2:A242,"&gt;="&amp;C16,Monthly_B!A2:A242,"&lt;"&amp;(C16+12))</f>
        <v>-1064770.009</v>
      </c>
      <c r="D53" s="2"/>
    </row>
  </sheetData>
  <autoFilter ref="$A$1:$D$5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5.13"/>
    <col customWidth="1" min="2" max="6" width="22.63"/>
  </cols>
  <sheetData>
    <row r="1">
      <c r="A1" s="1" t="s">
        <v>138</v>
      </c>
      <c r="B1" s="1" t="s">
        <v>141</v>
      </c>
      <c r="C1" s="1" t="s">
        <v>143</v>
      </c>
      <c r="D1" s="1" t="s">
        <v>146</v>
      </c>
      <c r="E1" s="1" t="s">
        <v>149</v>
      </c>
      <c r="F1" s="1" t="s">
        <v>151</v>
      </c>
    </row>
    <row r="2">
      <c r="A2" s="2" t="s">
        <v>153</v>
      </c>
      <c r="B2" s="2" t="s">
        <v>155</v>
      </c>
      <c r="C2" s="2"/>
      <c r="D2" s="2"/>
      <c r="E2" s="2"/>
      <c r="F2" s="2"/>
    </row>
    <row r="3">
      <c r="A3" s="2"/>
      <c r="B3" s="2"/>
      <c r="C3" s="2"/>
      <c r="D3" s="2"/>
      <c r="E3" s="2"/>
      <c r="F3" s="2"/>
    </row>
    <row r="4">
      <c r="A4" s="2" t="s">
        <v>163</v>
      </c>
      <c r="B4" s="2">
        <v>1200.0</v>
      </c>
      <c r="C4" s="2">
        <v>1500.0</v>
      </c>
      <c r="D4" s="2">
        <v>1800.0</v>
      </c>
      <c r="E4" s="2">
        <v>2100.0</v>
      </c>
      <c r="F4" s="2">
        <v>2400.0</v>
      </c>
    </row>
    <row r="5">
      <c r="A5" s="12">
        <v>0.3</v>
      </c>
      <c r="B5" s="12">
        <f>((Drivers!B2*365*B$4*$A5*(1+Drivers!B26)*(1-Drivers!B27-Drivers!B29)+Summary!B21)*(1+Drivers!B22)^(Summary!B17/12)-(Drivers!B28+Drivers!B33)*(1+Drivers!B23)^(Summary!B17/12))/Summary!B14</f>
        <v>0.00009001189024</v>
      </c>
      <c r="C5" s="12">
        <f>((Drivers!B2*365*C$4*$A5*(1+Drivers!B26)*(1-Drivers!B27-Drivers!B29)+Summary!B21)*(1+Drivers!B22)^(Summary!B17/12)-(Drivers!B28+Drivers!B33)*(1+Drivers!B23)^(Summary!B17/12))/Summary!B14</f>
        <v>0.00707659651</v>
      </c>
      <c r="D5" s="12">
        <f>((Drivers!B2*365*D$4*$A5*(1+Drivers!B26)*(1-Drivers!B27-Drivers!B29)+Summary!B21)*(1+Drivers!B22)^(Summary!B17/12)-(Drivers!B28+Drivers!B33)*(1+Drivers!B23)^(Summary!B17/12))/Summary!B14</f>
        <v>0.01406318113</v>
      </c>
      <c r="E5" s="12">
        <f>((Drivers!B2*365*E$4*$A5*(1+Drivers!B26)*(1-Drivers!B27-Drivers!B29)+Summary!B21)*(1+Drivers!B22)^(Summary!B17/12)-(Drivers!B28+Drivers!B33)*(1+Drivers!B23)^(Summary!B17/12))/Summary!B14</f>
        <v>0.02104976575</v>
      </c>
      <c r="F5" s="12">
        <f>((Drivers!B2*365*F$4*$A5*(1+Drivers!B26)*(1-Drivers!B27-Drivers!B29)+Summary!B21)*(1+Drivers!B22)^(Summary!B17/12)-(Drivers!B28+Drivers!B33)*(1+Drivers!B23)^(Summary!B17/12))/Summary!B14</f>
        <v>0.02803635037</v>
      </c>
    </row>
    <row r="6">
      <c r="A6" s="12">
        <v>0.4</v>
      </c>
      <c r="B6" s="12">
        <f>((Drivers!B2*365*B$4*$A6*(1+Drivers!B26)*(1-Drivers!B27-Drivers!B29)+Summary!B21)*(1+Drivers!B22)^(Summary!B17/12)-(Drivers!B28+Drivers!B33)*(1+Drivers!B23)^(Summary!B17/12))/Summary!B14</f>
        <v>0.009405458049</v>
      </c>
      <c r="C6" s="12">
        <f>((Drivers!B2*365*C$4*$A6*(1+Drivers!B26)*(1-Drivers!B27-Drivers!B29)+Summary!B21)*(1+Drivers!B22)^(Summary!B17/12)-(Drivers!B28+Drivers!B33)*(1+Drivers!B23)^(Summary!B17/12))/Summary!B14</f>
        <v>0.01872090421</v>
      </c>
      <c r="D6" s="12">
        <f>((Drivers!B2*365*D$4*$A6*(1+Drivers!B26)*(1-Drivers!B27-Drivers!B29)+Summary!B21)*(1+Drivers!B22)^(Summary!B17/12)-(Drivers!B28+Drivers!B33)*(1+Drivers!B23)^(Summary!B17/12))/Summary!B14</f>
        <v>0.02803635037</v>
      </c>
      <c r="E6" s="12">
        <f>((Drivers!B2*365*E$4*$A6*(1+Drivers!B26)*(1-Drivers!B27-Drivers!B29)+Summary!B21)*(1+Drivers!B22)^(Summary!B17/12)-(Drivers!B28+Drivers!B33)*(1+Drivers!B23)^(Summary!B17/12))/Summary!B14</f>
        <v>0.03735179653</v>
      </c>
      <c r="F6" s="12">
        <f>((Drivers!B2*365*F$4*$A6*(1+Drivers!B26)*(1-Drivers!B27-Drivers!B29)+Summary!B21)*(1+Drivers!B22)^(Summary!B17/12)-(Drivers!B28+Drivers!B33)*(1+Drivers!B23)^(Summary!B17/12))/Summary!B14</f>
        <v>0.04666724269</v>
      </c>
    </row>
    <row r="7">
      <c r="A7" s="12">
        <v>0.5</v>
      </c>
      <c r="B7" s="12">
        <f>((Drivers!B2*365*B$4*$A7*(1+Drivers!B26)*(1-Drivers!B27-Drivers!B29)+Summary!B21)*(1+Drivers!B22)^(Summary!B17/12)-(Drivers!B28+Drivers!B33)*(1+Drivers!B23)^(Summary!B17/12))/Summary!B14</f>
        <v>0.01872090421</v>
      </c>
      <c r="C7" s="12">
        <f>((Drivers!B2*365*C$4*$A7*(1+Drivers!B26)*(1-Drivers!B27-Drivers!B29)+Summary!B21)*(1+Drivers!B22)^(Summary!B17/12)-(Drivers!B28+Drivers!B33)*(1+Drivers!B23)^(Summary!B17/12))/Summary!B14</f>
        <v>0.03036521191</v>
      </c>
      <c r="D7" s="12">
        <f>((Drivers!B2*365*D$4*$A7*(1+Drivers!B26)*(1-Drivers!B27-Drivers!B29)+Summary!B21)*(1+Drivers!B22)^(Summary!B17/12)-(Drivers!B28+Drivers!B33)*(1+Drivers!B23)^(Summary!B17/12))/Summary!B14</f>
        <v>0.04200951961</v>
      </c>
      <c r="E7" s="12">
        <f>((Drivers!B2*365*E$4*$A7*(1+Drivers!B26)*(1-Drivers!B27-Drivers!B29)+Summary!B21)*(1+Drivers!B22)^(Summary!B17/12)-(Drivers!B28+Drivers!B33)*(1+Drivers!B23)^(Summary!B17/12))/Summary!B14</f>
        <v>0.05365382731</v>
      </c>
      <c r="F7" s="12">
        <f>((Drivers!B2*365*F$4*$A7*(1+Drivers!B26)*(1-Drivers!B27-Drivers!B29)+Summary!B21)*(1+Drivers!B22)^(Summary!B17/12)-(Drivers!B28+Drivers!B33)*(1+Drivers!B23)^(Summary!B17/12))/Summary!B14</f>
        <v>0.065298135</v>
      </c>
    </row>
    <row r="8">
      <c r="A8" s="12">
        <v>0.6</v>
      </c>
      <c r="B8" s="12">
        <f>((Drivers!B2*365*B$4*$A8*(1+Drivers!B26)*(1-Drivers!B27-Drivers!B29)+Summary!B21)*(1+Drivers!B22)^(Summary!B17/12)-(Drivers!B28+Drivers!B33)*(1+Drivers!B23)^(Summary!B17/12))/Summary!B14</f>
        <v>0.02803635037</v>
      </c>
      <c r="C8" s="12">
        <f>((Drivers!B2*365*C$4*$A8*(1+Drivers!B26)*(1-Drivers!B27-Drivers!B29)+Summary!B21)*(1+Drivers!B22)^(Summary!B17/12)-(Drivers!B28+Drivers!B33)*(1+Drivers!B23)^(Summary!B17/12))/Summary!B14</f>
        <v>0.04200951961</v>
      </c>
      <c r="D8" s="12">
        <f>((Drivers!B2*365*D$4*$A8*(1+Drivers!B26)*(1-Drivers!B27-Drivers!B29)+Summary!B21)*(1+Drivers!B22)^(Summary!B17/12)-(Drivers!B28+Drivers!B33)*(1+Drivers!B23)^(Summary!B17/12))/Summary!B14</f>
        <v>0.05598268885</v>
      </c>
      <c r="E8" s="12">
        <f>((Drivers!B2*365*E$4*$A8*(1+Drivers!B26)*(1-Drivers!B27-Drivers!B29)+Summary!B21)*(1+Drivers!B22)^(Summary!B17/12)-(Drivers!B28+Drivers!B33)*(1+Drivers!B23)^(Summary!B17/12))/Summary!B14</f>
        <v>0.06995585808</v>
      </c>
      <c r="F8" s="12">
        <f>((Drivers!B2*365*F$4*$A8*(1+Drivers!B26)*(1-Drivers!B27-Drivers!B29)+Summary!B21)*(1+Drivers!B22)^(Summary!B17/12)-(Drivers!B28+Drivers!B33)*(1+Drivers!B23)^(Summary!B17/12))/Summary!B14</f>
        <v>0.08392902732</v>
      </c>
    </row>
    <row r="9">
      <c r="A9" s="12">
        <v>0.7</v>
      </c>
      <c r="B9" s="12">
        <f>((Drivers!B2*365*B$4*$A9*(1+Drivers!B26)*(1-Drivers!B27-Drivers!B29)+Summary!B21)*(1+Drivers!B22)^(Summary!B17/12)-(Drivers!B28+Drivers!B33)*(1+Drivers!B23)^(Summary!B17/12))/Summary!B14</f>
        <v>0.03735179653</v>
      </c>
      <c r="C9" s="12">
        <f>((Drivers!B2*365*C$4*$A9*(1+Drivers!B26)*(1-Drivers!B27-Drivers!B29)+Summary!B21)*(1+Drivers!B22)^(Summary!B17/12)-(Drivers!B28+Drivers!B33)*(1+Drivers!B23)^(Summary!B17/12))/Summary!B14</f>
        <v>0.05365382731</v>
      </c>
      <c r="D9" s="12">
        <f>((Drivers!B2*365*D$4*$A9*(1+Drivers!B26)*(1-Drivers!B27-Drivers!B29)+Summary!B21)*(1+Drivers!B22)^(Summary!B17/12)-(Drivers!B28+Drivers!B33)*(1+Drivers!B23)^(Summary!B17/12))/Summary!B14</f>
        <v>0.06995585808</v>
      </c>
      <c r="E9" s="12">
        <f>((Drivers!B2*365*E$4*$A9*(1+Drivers!B26)*(1-Drivers!B27-Drivers!B29)+Summary!B21)*(1+Drivers!B22)^(Summary!B17/12)-(Drivers!B28+Drivers!B33)*(1+Drivers!B23)^(Summary!B17/12))/Summary!B14</f>
        <v>0.08625788886</v>
      </c>
      <c r="F9" s="12">
        <f>((Drivers!B2*365*F$4*$A9*(1+Drivers!B26)*(1-Drivers!B27-Drivers!B29)+Summary!B21)*(1+Drivers!B22)^(Summary!B17/12)-(Drivers!B28+Drivers!B33)*(1+Drivers!B23)^(Summary!B17/12))/Summary!B14</f>
        <v>0.1025599196</v>
      </c>
    </row>
    <row r="10">
      <c r="A10" s="2"/>
      <c r="B10" s="2"/>
      <c r="C10" s="2"/>
      <c r="D10" s="2"/>
      <c r="E10" s="2"/>
      <c r="F10" s="2"/>
    </row>
    <row r="11">
      <c r="A11" s="2" t="s">
        <v>380</v>
      </c>
      <c r="B11" s="2" t="s">
        <v>242</v>
      </c>
      <c r="C11" s="2" t="s">
        <v>381</v>
      </c>
      <c r="D11" s="2"/>
      <c r="E11" s="2"/>
      <c r="F11" s="2"/>
    </row>
    <row r="12">
      <c r="A12" s="12">
        <v>0.7</v>
      </c>
      <c r="B12" s="12">
        <f>Summary!B24/(Summary!B14*A12)</f>
        <v>0.03506151151</v>
      </c>
      <c r="C12" s="2"/>
      <c r="D12" s="2"/>
      <c r="E12" s="2"/>
      <c r="F12" s="2"/>
    </row>
    <row r="13">
      <c r="A13" s="12">
        <v>0.8</v>
      </c>
      <c r="B13" s="12">
        <f>Summary!B24/(Summary!B14*A13)</f>
        <v>0.03067882257</v>
      </c>
      <c r="C13" s="2"/>
      <c r="D13" s="2"/>
      <c r="E13" s="2"/>
      <c r="F13" s="2"/>
    </row>
    <row r="14">
      <c r="A14" s="12">
        <v>0.9</v>
      </c>
      <c r="B14" s="12">
        <f>Summary!B24/(Summary!B14*A14)</f>
        <v>0.02727006451</v>
      </c>
      <c r="C14" s="2"/>
      <c r="D14" s="2"/>
      <c r="E14" s="2"/>
      <c r="F14" s="2"/>
    </row>
    <row r="15">
      <c r="A15" s="12">
        <v>1.0</v>
      </c>
      <c r="B15" s="12">
        <f>Summary!B24/(Summary!B14*A15)</f>
        <v>0.02454305806</v>
      </c>
      <c r="C15" s="2"/>
      <c r="D15" s="2"/>
      <c r="E15" s="2"/>
      <c r="F15" s="2"/>
    </row>
    <row r="16">
      <c r="A16" s="12">
        <v>1.1</v>
      </c>
      <c r="B16" s="12">
        <f>Summary!B24/(Summary!B14*A16)</f>
        <v>0.02231187096</v>
      </c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 t="s">
        <v>384</v>
      </c>
      <c r="B18" s="2" t="s">
        <v>385</v>
      </c>
      <c r="C18" s="2" t="s">
        <v>386</v>
      </c>
      <c r="D18" s="2"/>
      <c r="E18" s="2"/>
      <c r="F18" s="2"/>
    </row>
    <row r="19">
      <c r="A19" s="12">
        <v>0.6</v>
      </c>
      <c r="B19" s="12">
        <f>((Summary!C19*(1-Drivers!C27-Drivers!C29)+Summary!C21)*(1+Drivers!C22)^(Summary!C17/12)-(Drivers!B28*A19+Drivers!C33)*(1+Drivers!C23)^(Summary!C17/12))/Summary!C14</f>
        <v>0.01943699437</v>
      </c>
      <c r="C19" s="2"/>
      <c r="D19" s="2"/>
      <c r="E19" s="2"/>
      <c r="F19" s="2"/>
    </row>
    <row r="20">
      <c r="A20" s="12">
        <v>0.75</v>
      </c>
      <c r="B20" s="12">
        <f>((Summary!C19*(1-Drivers!C27-Drivers!C29)+Summary!C21)*(1+Drivers!C22)^(Summary!C17/12)-(Drivers!B28*A20+Drivers!C33)*(1+Drivers!C23)^(Summary!C17/12))/Summary!C14</f>
        <v>0.01291201691</v>
      </c>
      <c r="C20" s="2"/>
      <c r="D20" s="2"/>
      <c r="E20" s="2"/>
      <c r="F20" s="2"/>
    </row>
    <row r="21">
      <c r="A21" s="12">
        <v>1.0</v>
      </c>
      <c r="B21" s="12">
        <f>((Summary!C19*(1-Drivers!C27-Drivers!C29)+Summary!C21)*(1+Drivers!C22)^(Summary!C17/12)-(Drivers!B28*A21+Drivers!C33)*(1+Drivers!C23)^(Summary!C17/12))/Summary!C14</f>
        <v>0.002037054465</v>
      </c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 t="s">
        <v>390</v>
      </c>
      <c r="B23" s="2" t="s">
        <v>134</v>
      </c>
      <c r="C23" s="2" t="s">
        <v>391</v>
      </c>
      <c r="D23" s="2"/>
      <c r="E23" s="2"/>
      <c r="F23" s="2"/>
    </row>
    <row r="24">
      <c r="A24" s="16">
        <v>0.095</v>
      </c>
      <c r="B24" s="10">
        <f>Summary!B24/(-PMT(A24/12,Drivers!B37*12,Summary!B27)*12)</f>
        <v>0.326439139</v>
      </c>
      <c r="C24" s="2"/>
      <c r="D24" s="2"/>
      <c r="E24" s="2"/>
      <c r="F24" s="2"/>
    </row>
    <row r="25">
      <c r="A25" s="16">
        <v>0.115</v>
      </c>
      <c r="B25" s="10">
        <f>Summary!B24/(-PMT(A25/12,Drivers!B37*12,Summary!B27)*12)</f>
        <v>0.2917983049</v>
      </c>
      <c r="C25" s="2"/>
      <c r="D25" s="2"/>
      <c r="E25" s="2"/>
      <c r="F25" s="2"/>
    </row>
    <row r="26">
      <c r="A26" s="16">
        <v>0.135</v>
      </c>
      <c r="B26" s="10">
        <f>Summary!B24/(-PMT(A26/12,Drivers!B37*12,Summary!B27)*12)</f>
        <v>0.2625517508</v>
      </c>
      <c r="C26" s="2"/>
      <c r="D26" s="2"/>
      <c r="E26" s="2"/>
      <c r="F26" s="2"/>
    </row>
  </sheetData>
  <autoFilter ref="$A$1:$F$26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51.38"/>
    <col customWidth="1" min="2" max="3" width="23.25"/>
    <col customWidth="1" min="4" max="5" width="18.25"/>
    <col customWidth="1" min="6" max="6" width="21.38"/>
    <col customWidth="1" min="7" max="7" width="23.25"/>
    <col customWidth="1" min="8" max="8" width="50.13"/>
    <col customWidth="1" min="9" max="9" width="53.88"/>
  </cols>
  <sheetData>
    <row r="1">
      <c r="A1" s="1" t="s">
        <v>239</v>
      </c>
      <c r="B1" s="1" t="s">
        <v>240</v>
      </c>
      <c r="C1" s="1" t="s">
        <v>241</v>
      </c>
      <c r="D1" s="1" t="s">
        <v>242</v>
      </c>
      <c r="E1" s="1" t="s">
        <v>134</v>
      </c>
      <c r="F1" s="1" t="s">
        <v>167</v>
      </c>
      <c r="G1" s="1" t="s">
        <v>243</v>
      </c>
      <c r="H1" s="1" t="s">
        <v>244</v>
      </c>
      <c r="I1" s="1" t="s">
        <v>245</v>
      </c>
    </row>
    <row r="2">
      <c r="A2" s="2" t="s">
        <v>246</v>
      </c>
      <c r="B2" s="14">
        <v>1.6424477012332952E8</v>
      </c>
      <c r="C2" s="14">
        <v>4031068.928883851</v>
      </c>
      <c r="D2" s="12">
        <v>0.0245430580581468</v>
      </c>
      <c r="E2" s="2">
        <v>0.2917983049261449</v>
      </c>
      <c r="F2" s="12">
        <v>-0.05054876137821357</v>
      </c>
      <c r="G2" s="14">
        <v>1.4574567079045847E8</v>
      </c>
      <c r="H2" s="2" t="s">
        <v>247</v>
      </c>
      <c r="I2" s="2" t="str">
        <f>IF(Checks!B12,"CURRENT snapshot at published inputs","STALE SNAPSHOT: Drivers changed; use live models/Live_Levers")</f>
        <v>CURRENT snapshot at published inputs</v>
      </c>
    </row>
    <row r="3">
      <c r="A3" s="2" t="s">
        <v>248</v>
      </c>
      <c r="B3" s="14">
        <v>1.9585230480926296E8</v>
      </c>
      <c r="C3" s="14">
        <v>-334176.2178757917</v>
      </c>
      <c r="D3" s="12">
        <v>-0.0017062664552313536</v>
      </c>
      <c r="E3" s="2">
        <v>-0.02028621120519181</v>
      </c>
      <c r="F3" s="12" t="s">
        <v>249</v>
      </c>
      <c r="G3" s="14">
        <v>2.043881369617681E8</v>
      </c>
      <c r="H3" s="2" t="s">
        <v>250</v>
      </c>
      <c r="I3" s="2" t="str">
        <f>IF(Checks!B12,"CURRENT snapshot at published inputs","STALE SNAPSHOT: Drivers changed; use live models/Live_Levers")</f>
        <v>CURRENT snapshot at published inputs</v>
      </c>
    </row>
    <row r="4">
      <c r="A4" s="2" t="s">
        <v>251</v>
      </c>
      <c r="B4" s="14">
        <v>1.6424477012332952E8</v>
      </c>
      <c r="C4" s="14">
        <v>9194863.860307716</v>
      </c>
      <c r="D4" s="12">
        <v>0.05598268884545546</v>
      </c>
      <c r="E4" s="2">
        <v>0.6655916174589849</v>
      </c>
      <c r="F4" s="12">
        <v>0.043208081879253624</v>
      </c>
      <c r="G4" s="14">
        <v>1.2056673702604751E8</v>
      </c>
      <c r="H4" s="2" t="s">
        <v>253</v>
      </c>
      <c r="I4" s="2" t="str">
        <f>IF(Checks!B12,"CURRENT snapshot at published inputs","STALE SNAPSHOT: Drivers changed; use live models/Live_Levers")</f>
        <v>CURRENT snapshot at published inputs</v>
      </c>
    </row>
    <row r="5">
      <c r="A5" s="2" t="s">
        <v>261</v>
      </c>
      <c r="B5" s="14">
        <v>1.3750907349049112E8</v>
      </c>
      <c r="C5" s="14">
        <v>4031068.928883851</v>
      </c>
      <c r="D5" s="12">
        <v>0.029314930473752363</v>
      </c>
      <c r="E5" s="2">
        <v>0.3485322408072659</v>
      </c>
      <c r="F5" s="12">
        <v>-0.03187308886445567</v>
      </c>
      <c r="G5" s="14">
        <v>1.1900997415762009E8</v>
      </c>
      <c r="H5" s="2" t="s">
        <v>268</v>
      </c>
      <c r="I5" s="2" t="str">
        <f>IF(Checks!B12,"CURRENT snapshot at published inputs","STALE SNAPSHOT: Drivers changed; use live models/Live_Levers")</f>
        <v>CURRENT snapshot at published inputs</v>
      </c>
    </row>
    <row r="6">
      <c r="A6" s="2" t="s">
        <v>277</v>
      </c>
      <c r="B6" s="14">
        <v>1.640901254752667E8</v>
      </c>
      <c r="C6" s="14">
        <v>3378860.0</v>
      </c>
      <c r="D6" s="12">
        <v>0.020591488916310786</v>
      </c>
      <c r="E6" s="2">
        <v>0.2448171514507137</v>
      </c>
      <c r="F6" s="12">
        <v>-0.09886085072256384</v>
      </c>
      <c r="G6" s="14">
        <v>1.485711594358827E8</v>
      </c>
      <c r="H6" s="2" t="s">
        <v>284</v>
      </c>
      <c r="I6" s="2" t="str">
        <f>IF(Checks!B12,"CURRENT snapshot at published inputs","STALE SNAPSHOT: Drivers changed; use live models/Live_Levers")</f>
        <v>CURRENT snapshot at published inputs</v>
      </c>
    </row>
    <row r="7">
      <c r="A7" s="2" t="s">
        <v>293</v>
      </c>
      <c r="B7" s="14">
        <v>1.6432525467786318E8</v>
      </c>
      <c r="C7" s="14">
        <v>2743434.7599273333</v>
      </c>
      <c r="D7" s="12">
        <v>0.016695149904410348</v>
      </c>
      <c r="E7" s="2">
        <v>0.1984926422393296</v>
      </c>
      <c r="F7" s="12">
        <v>-0.2877958335890992</v>
      </c>
      <c r="G7" s="14">
        <v>1.7404270056938565E8</v>
      </c>
      <c r="H7" s="2" t="s">
        <v>301</v>
      </c>
      <c r="I7" s="2" t="str">
        <f>IF(Checks!B12,"CURRENT snapshot at published inputs","STALE SNAPSHOT: Drivers changed; use live models/Live_Levers")</f>
        <v>CURRENT snapshot at published inputs</v>
      </c>
    </row>
    <row r="8">
      <c r="A8" s="2" t="s">
        <v>321</v>
      </c>
      <c r="B8" s="14">
        <v>1.5934262794318622E8</v>
      </c>
      <c r="C8" s="14">
        <v>3952788.294041601</v>
      </c>
      <c r="D8" s="12">
        <v>0.024806847640613607</v>
      </c>
      <c r="E8" s="2">
        <v>0.2949345625529909</v>
      </c>
      <c r="F8" s="12">
        <v>-0.0491020006722625</v>
      </c>
      <c r="G8" s="14">
        <v>1.4123280068205333E8</v>
      </c>
      <c r="H8" s="2" t="s">
        <v>326</v>
      </c>
      <c r="I8" s="2" t="str">
        <f>IF(Checks!B12,"CURRENT snapshot at published inputs","STALE SNAPSHOT: Drivers changed; use live models/Live_Levers")</f>
        <v>CURRENT snapshot at published inputs</v>
      </c>
    </row>
    <row r="9">
      <c r="A9" s="2" t="s">
        <v>327</v>
      </c>
      <c r="B9" s="14">
        <v>1.8530596147822815E8</v>
      </c>
      <c r="C9" s="14">
        <v>4360004.153480773</v>
      </c>
      <c r="D9" s="12">
        <v>0.023528677214159865</v>
      </c>
      <c r="E9" s="2">
        <v>0.27973808773056646</v>
      </c>
      <c r="F9" s="12">
        <v>-0.054646689435546125</v>
      </c>
      <c r="G9" s="14">
        <v>1.6529733563979486E8</v>
      </c>
      <c r="H9" s="2" t="s">
        <v>329</v>
      </c>
      <c r="I9" s="2" t="str">
        <f>IF(Checks!B12,"CURRENT snapshot at published inputs","STALE SNAPSHOT: Drivers changed; use live models/Live_Levers")</f>
        <v>CURRENT snapshot at published inputs</v>
      </c>
    </row>
    <row r="10">
      <c r="A10" s="2" t="s">
        <v>331</v>
      </c>
      <c r="B10" s="14">
        <v>1.6424477012332952E8</v>
      </c>
      <c r="C10" s="14">
        <v>4031068.928883851</v>
      </c>
      <c r="D10" s="12">
        <v>0.0245430580581468</v>
      </c>
      <c r="E10" s="2">
        <v>0.2917983049261449</v>
      </c>
      <c r="F10" s="12">
        <v>-0.03601035928115209</v>
      </c>
      <c r="G10" s="14">
        <v>1.4574567079045847E8</v>
      </c>
      <c r="H10" s="2" t="s">
        <v>332</v>
      </c>
      <c r="I10" s="2" t="str">
        <f>IF(Checks!B12,"CURRENT snapshot at published inputs","STALE SNAPSHOT: Drivers changed; use live models/Live_Levers")</f>
        <v>CURRENT snapshot at published inputs</v>
      </c>
    </row>
    <row r="11">
      <c r="A11" s="2" t="s">
        <v>334</v>
      </c>
      <c r="B11" s="14">
        <v>1.6424477012332952E8</v>
      </c>
      <c r="C11" s="14">
        <v>4031068.928883851</v>
      </c>
      <c r="D11" s="12">
        <v>0.0245430580581468</v>
      </c>
      <c r="E11" s="2">
        <v>0.2917983049261449</v>
      </c>
      <c r="F11" s="12">
        <v>-0.06174408597245512</v>
      </c>
      <c r="G11" s="14">
        <v>1.4574567079045847E8</v>
      </c>
      <c r="H11" s="2" t="s">
        <v>335</v>
      </c>
      <c r="I11" s="2" t="str">
        <f>IF(Checks!B12,"CURRENT snapshot at published inputs","STALE SNAPSHOT: Drivers changed; use live models/Live_Levers")</f>
        <v>CURRENT snapshot at published inputs</v>
      </c>
    </row>
    <row r="12">
      <c r="A12" s="2" t="s">
        <v>337</v>
      </c>
      <c r="B12" s="14">
        <v>1.0970394899233916E8</v>
      </c>
      <c r="C12" s="14">
        <v>223472.919115562</v>
      </c>
      <c r="D12" s="12">
        <v>0.0020370544649324115</v>
      </c>
      <c r="E12" s="2">
        <v>0.02421902920578411</v>
      </c>
      <c r="F12" s="12">
        <v>-0.2650387685990373</v>
      </c>
      <c r="G12" s="14">
        <v>1.098385090882148E8</v>
      </c>
      <c r="H12" s="2" t="s">
        <v>247</v>
      </c>
      <c r="I12" s="2" t="str">
        <f>IF(Checks!B12,"CURRENT snapshot at published inputs","STALE SNAPSHOT: Drivers changed; use live models/Live_Levers")</f>
        <v>CURRENT snapshot at published inputs</v>
      </c>
    </row>
    <row r="13">
      <c r="A13" s="2" t="s">
        <v>364</v>
      </c>
      <c r="B13" s="14">
        <v>1.0970394899233916E8</v>
      </c>
      <c r="C13" s="14">
        <v>2132315.0393023</v>
      </c>
      <c r="D13" s="12">
        <v>0.01943699437338581</v>
      </c>
      <c r="E13" s="2">
        <v>0.2310910888763652</v>
      </c>
      <c r="F13" s="12">
        <v>-0.0741984870427031</v>
      </c>
      <c r="G13" s="14">
        <v>1.0006128532282184E8</v>
      </c>
      <c r="H13" s="2" t="s">
        <v>369</v>
      </c>
      <c r="I13" s="2" t="str">
        <f>IF(Checks!B12,"CURRENT snapshot at published inputs","STALE SNAPSHOT: Drivers changed; use live models/Live_Levers")</f>
        <v>CURRENT snapshot at published inputs</v>
      </c>
    </row>
    <row r="14">
      <c r="A14" s="2" t="s">
        <v>375</v>
      </c>
      <c r="B14" s="14">
        <v>1.0970394899233916E8</v>
      </c>
      <c r="C14" s="14">
        <v>5230591.998156616</v>
      </c>
      <c r="D14" s="12">
        <v>0.047679158737684815</v>
      </c>
      <c r="E14" s="2">
        <v>0.566868956060789</v>
      </c>
      <c r="F14" s="12">
        <v>0.023526251311997703</v>
      </c>
      <c r="G14" s="14">
        <v>8.49513604412494E7</v>
      </c>
      <c r="H14" s="2" t="s">
        <v>376</v>
      </c>
      <c r="I14" s="2" t="str">
        <f>IF(Checks!B12,"CURRENT snapshot at published inputs","STALE SNAPSHOT: Drivers changed; use live models/Live_Levers")</f>
        <v>CURRENT snapshot at published inputs</v>
      </c>
    </row>
  </sheetData>
  <autoFilter ref="$A$1:$I$14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3.88"/>
    <col customWidth="1" min="2" max="2" width="50.13"/>
    <col customWidth="1" min="3" max="3" width="73.88"/>
    <col customWidth="1" min="4" max="4" width="52.63"/>
  </cols>
  <sheetData>
    <row r="1">
      <c r="A1" s="1" t="s">
        <v>252</v>
      </c>
      <c r="B1" s="1" t="s">
        <v>254</v>
      </c>
      <c r="C1" s="1" t="s">
        <v>255</v>
      </c>
      <c r="D1" s="1" t="s">
        <v>153</v>
      </c>
    </row>
    <row r="2">
      <c r="A2" s="2" t="s">
        <v>257</v>
      </c>
      <c r="B2" s="2" t="s">
        <v>258</v>
      </c>
      <c r="C2" s="2" t="s">
        <v>259</v>
      </c>
      <c r="D2" s="2" t="s">
        <v>260</v>
      </c>
    </row>
    <row r="3">
      <c r="A3" s="2" t="s">
        <v>262</v>
      </c>
      <c r="B3" s="2" t="s">
        <v>263</v>
      </c>
      <c r="C3" s="2" t="s">
        <v>264</v>
      </c>
      <c r="D3" s="2" t="s">
        <v>265</v>
      </c>
    </row>
    <row r="4">
      <c r="A4" s="2" t="s">
        <v>266</v>
      </c>
      <c r="B4" s="2" t="s">
        <v>267</v>
      </c>
      <c r="C4" s="2" t="s">
        <v>269</v>
      </c>
      <c r="D4" s="2" t="s">
        <v>270</v>
      </c>
    </row>
    <row r="5">
      <c r="A5" s="2" t="s">
        <v>271</v>
      </c>
      <c r="B5" s="2" t="s">
        <v>272</v>
      </c>
      <c r="C5" s="2" t="s">
        <v>273</v>
      </c>
      <c r="D5" s="2" t="s">
        <v>274</v>
      </c>
    </row>
    <row r="6">
      <c r="A6" s="2" t="s">
        <v>275</v>
      </c>
      <c r="B6" s="2" t="s">
        <v>276</v>
      </c>
      <c r="C6" s="2" t="s">
        <v>278</v>
      </c>
      <c r="D6" s="2" t="s">
        <v>279</v>
      </c>
    </row>
    <row r="7">
      <c r="A7" s="2" t="s">
        <v>280</v>
      </c>
      <c r="B7" s="2" t="s">
        <v>281</v>
      </c>
      <c r="C7" s="2" t="s">
        <v>282</v>
      </c>
      <c r="D7" s="2" t="s">
        <v>283</v>
      </c>
    </row>
    <row r="8">
      <c r="A8" s="2" t="s">
        <v>285</v>
      </c>
      <c r="B8" s="2" t="s">
        <v>286</v>
      </c>
      <c r="C8" s="2" t="s">
        <v>287</v>
      </c>
      <c r="D8" s="2" t="s">
        <v>288</v>
      </c>
    </row>
    <row r="9">
      <c r="A9" s="2" t="s">
        <v>289</v>
      </c>
      <c r="B9" s="2" t="s">
        <v>290</v>
      </c>
      <c r="C9" s="2" t="s">
        <v>291</v>
      </c>
      <c r="D9" s="2" t="s">
        <v>292</v>
      </c>
    </row>
    <row r="10">
      <c r="A10" s="2" t="s">
        <v>294</v>
      </c>
      <c r="B10" s="2" t="s">
        <v>295</v>
      </c>
      <c r="C10" s="2" t="s">
        <v>296</v>
      </c>
      <c r="D10" s="2" t="s">
        <v>297</v>
      </c>
    </row>
    <row r="11">
      <c r="A11" s="2" t="s">
        <v>298</v>
      </c>
      <c r="B11" s="2" t="s">
        <v>299</v>
      </c>
      <c r="C11" s="2" t="s">
        <v>302</v>
      </c>
      <c r="D11" s="2" t="s">
        <v>303</v>
      </c>
    </row>
    <row r="12">
      <c r="A12" s="2" t="s">
        <v>304</v>
      </c>
      <c r="B12" s="2" t="s">
        <v>305</v>
      </c>
      <c r="C12" s="2" t="s">
        <v>306</v>
      </c>
      <c r="D12" s="2" t="s">
        <v>307</v>
      </c>
    </row>
    <row r="13">
      <c r="A13" s="2" t="s">
        <v>308</v>
      </c>
      <c r="B13" s="2" t="s">
        <v>309</v>
      </c>
      <c r="C13" s="2" t="s">
        <v>310</v>
      </c>
      <c r="D13" s="2" t="s">
        <v>311</v>
      </c>
    </row>
    <row r="14">
      <c r="A14" s="2" t="s">
        <v>312</v>
      </c>
      <c r="B14" s="2" t="s">
        <v>313</v>
      </c>
      <c r="C14" s="2" t="s">
        <v>314</v>
      </c>
      <c r="D14" s="2" t="s">
        <v>315</v>
      </c>
    </row>
    <row r="15">
      <c r="A15" s="2" t="s">
        <v>316</v>
      </c>
      <c r="B15" s="2" t="s">
        <v>317</v>
      </c>
      <c r="C15" s="2" t="s">
        <v>318</v>
      </c>
      <c r="D15" s="2" t="s">
        <v>319</v>
      </c>
    </row>
    <row r="16">
      <c r="A16" s="2" t="s">
        <v>320</v>
      </c>
      <c r="B16" s="2" t="s">
        <v>323</v>
      </c>
      <c r="C16" s="2" t="s">
        <v>324</v>
      </c>
      <c r="D16" s="2" t="s">
        <v>325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0.13"/>
    <col customWidth="1" min="2" max="2" width="16.38"/>
    <col customWidth="1" min="3" max="3" width="18.88"/>
    <col customWidth="1" min="4" max="33" width="19.5"/>
  </cols>
  <sheetData>
    <row r="1">
      <c r="A1" s="1" t="s">
        <v>336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  <c r="I1" s="1" t="s">
        <v>120</v>
      </c>
      <c r="J1" s="1" t="s">
        <v>345</v>
      </c>
      <c r="K1" s="1" t="s">
        <v>346</v>
      </c>
      <c r="L1" s="1" t="s">
        <v>347</v>
      </c>
      <c r="M1" s="1" t="s">
        <v>348</v>
      </c>
      <c r="N1" s="1" t="s">
        <v>349</v>
      </c>
      <c r="O1" s="1" t="s">
        <v>350</v>
      </c>
      <c r="P1" s="1" t="s">
        <v>351</v>
      </c>
      <c r="Q1" s="1" t="s">
        <v>352</v>
      </c>
      <c r="R1" s="1" t="s">
        <v>353</v>
      </c>
      <c r="S1" s="1" t="s">
        <v>354</v>
      </c>
      <c r="T1" s="1" t="s">
        <v>356</v>
      </c>
      <c r="U1" s="1" t="s">
        <v>358</v>
      </c>
      <c r="V1" s="1" t="s">
        <v>359</v>
      </c>
      <c r="W1" s="1" t="s">
        <v>360</v>
      </c>
      <c r="X1" s="1" t="s">
        <v>361</v>
      </c>
      <c r="Y1" s="1" t="s">
        <v>362</v>
      </c>
      <c r="Z1" s="1" t="s">
        <v>363</v>
      </c>
      <c r="AA1" s="1" t="s">
        <v>365</v>
      </c>
      <c r="AB1" s="1" t="s">
        <v>366</v>
      </c>
      <c r="AC1" s="1" t="s">
        <v>367</v>
      </c>
      <c r="AD1" s="1" t="s">
        <v>368</v>
      </c>
      <c r="AE1" s="1" t="s">
        <v>370</v>
      </c>
      <c r="AF1" s="1" t="s">
        <v>371</v>
      </c>
      <c r="AG1" s="1" t="s">
        <v>372</v>
      </c>
    </row>
    <row r="2">
      <c r="A2" s="2">
        <v>0.0</v>
      </c>
      <c r="B2" s="15">
        <f>EDATE(Setup!B2,A2)</f>
        <v>46279</v>
      </c>
      <c r="C2" s="2" t="str">
        <f>IF(A2=0,"T0",IF(A2&lt;=Drivers!B19,"Preconstruction",IF(A2&lt;=(Drivers!B19+Drivers!B20),"Construction","Trading")))</f>
        <v>T0</v>
      </c>
      <c r="D2" s="12">
        <f t="array" ref="D2">IF(AND(A2&gt;Drivers!B19,A2&lt;=(Drivers!B19+Drivers!B20)),SIN(PI()*(A2-Drivers!B19-0.5)/Drivers!B20)/SUMPRODUCT(SIN(PI()*(SEQUENCE(Drivers!B20,1)-0.5)/Drivers!B20)),0)</f>
        <v>0</v>
      </c>
      <c r="E2" s="14">
        <f>(Summary!B10+Summary!B12)*D2*(1+Drivers!B21)^(A2/12)</f>
        <v>0</v>
      </c>
      <c r="F2" s="14">
        <f>IF(AND(A2&gt;0,A2&lt;=Drivers!B19),Summary!B11*Drivers!B40/Drivers!B19*(1+Drivers!B21)^(A2/12),Summary!B11*(1-Drivers!B40 )*D2*(1+Drivers!B21)^(A2/12))</f>
        <v>0</v>
      </c>
      <c r="G2" s="14">
        <f>IF(AND(A2&gt;0,A2&lt;=2),Drivers!B16/2,0)</f>
        <v>0</v>
      </c>
      <c r="H2" s="14">
        <f>IF(A2=(Drivers!B19+Drivers!B20),Drivers!B17*(1+Drivers!B21)^(A2/12),0)</f>
        <v>0</v>
      </c>
      <c r="I2" s="14">
        <f>IF(AND(A2&gt;0,A2&lt;=(Drivers!B19+Drivers!B20)),Drivers!B18*(1+Drivers!B23)^(A2/12),0)</f>
        <v>0</v>
      </c>
      <c r="J2" s="14">
        <f t="shared" ref="J2:J242" si="1">SUM(E2:I2)</f>
        <v>0</v>
      </c>
      <c r="K2" s="12">
        <f>IF(A2&gt;(Drivers!B19+Drivers!B20),MIN(1,0.5+0.5*(A2-(Drivers!B19+Drivers!B20))/Drivers!B39),0)</f>
        <v>0</v>
      </c>
      <c r="L2" s="14">
        <f>Drivers!B2*0*Drivers!B24*(1+Drivers!B22)^(A2/12)*Drivers!B25*K2</f>
        <v>0</v>
      </c>
      <c r="M2" s="14">
        <f>L2*Drivers!B26</f>
        <v>0</v>
      </c>
      <c r="N2" s="14">
        <f>(L2+M2)*Drivers!B27</f>
        <v>0</v>
      </c>
      <c r="O2" s="14">
        <f>IF(A2&gt;(Drivers!B19+Drivers!B20),Drivers!B28/12*(1+Drivers!B23)^(A2/12),0)</f>
        <v>0</v>
      </c>
      <c r="P2" s="14">
        <f>(L2+M2)*Drivers!B29</f>
        <v>0</v>
      </c>
      <c r="Q2" s="14">
        <f>Drivers!B3*Drivers!B30*(1+Drivers!B22)^(A2/12)*Drivers!B31*(1-Drivers!B32 )*K2</f>
        <v>0</v>
      </c>
      <c r="R2" s="14">
        <f>IF(A2&gt;(Drivers!B19+Drivers!B20),Drivers!B33/12*(1+Drivers!B23)^(A2/12),0)</f>
        <v>0</v>
      </c>
      <c r="S2" s="14">
        <f t="shared" ref="S2:S242" si="2">L2+M2-N2-O2-P2+Q2-R2</f>
        <v>0</v>
      </c>
      <c r="T2" s="14">
        <f>0</f>
        <v>0</v>
      </c>
      <c r="U2" s="14">
        <f>IF(AND(A2&gt;Drivers!B19,A2&lt;=(Drivers!B19+Drivers!B20)),Summary!B31*D2,0)</f>
        <v>0</v>
      </c>
      <c r="V2" s="14">
        <f>IF(A2&lt;=(Drivers!B19+Drivers!B20),(T2+U2/2)*Drivers!B36/12,T2*Drivers!B36/12)</f>
        <v>0</v>
      </c>
      <c r="W2" s="14">
        <f>IF(A2&gt;(Drivers!B19+Drivers!B20),MIN(T2,MAX(0,Summary!B32/12-V2)),0)</f>
        <v>0</v>
      </c>
      <c r="X2" s="14">
        <f>IF(A2=(Drivers!B19+1),Summary!B31*Drivers!B38,0)</f>
        <v>0</v>
      </c>
      <c r="Y2" s="14">
        <f t="shared" ref="Y2:Y242" si="3">MAX(0,T2+U2-W2)</f>
        <v>0</v>
      </c>
      <c r="Z2" s="14">
        <f t="shared" ref="Z2:Z242" si="4">-J2+S2+U2-V2-W2-X2</f>
        <v>0</v>
      </c>
      <c r="AA2" s="14">
        <f>Z2</f>
        <v>0</v>
      </c>
      <c r="AB2" s="14">
        <f t="shared" ref="AB2:AB242" si="5">-J2+S2</f>
        <v>0</v>
      </c>
      <c r="AC2" s="14">
        <f>(E2+F2+G2+H2)*Drivers!B45</f>
        <v>0</v>
      </c>
      <c r="AD2" s="14">
        <f>IF(A2&lt;=Summary!B18,AB2+IF(A2=Summary!B18,Summary!B40,0),0)</f>
        <v>0</v>
      </c>
      <c r="AE2" s="14">
        <f>IF(A2&lt;=Summary!B18,Z2+IF(A2=Summary!B18,Summary!B40-Y2,0),0)</f>
        <v>0</v>
      </c>
      <c r="AF2" s="14">
        <f>AD2-IF(A2=0,Drivers!B44,0)</f>
        <v>-20000000</v>
      </c>
      <c r="AG2" s="14">
        <f>AB2</f>
        <v>0</v>
      </c>
    </row>
    <row r="3">
      <c r="A3" s="2">
        <v>1.0</v>
      </c>
      <c r="B3" s="15">
        <f>EDATE(Setup!B2,A3)</f>
        <v>46309</v>
      </c>
      <c r="C3" s="2" t="str">
        <f>IF(A3=0,"T0",IF(A3&lt;=Drivers!B19,"Preconstruction",IF(A3&lt;=(Drivers!B19+Drivers!B20),"Construction","Trading")))</f>
        <v>Preconstruction</v>
      </c>
      <c r="D3" s="12">
        <f t="array" ref="D3">IF(AND(A3&gt;Drivers!B19,A3&lt;=(Drivers!B19+Drivers!B20)),SIN(PI()*(A3-Drivers!B19-0.5)/Drivers!B20)/SUMPRODUCT(SIN(PI()*(SEQUENCE(Drivers!B20,1)-0.5)/Drivers!B20)),0)</f>
        <v>0</v>
      </c>
      <c r="E3" s="14">
        <f>(Summary!B10+Summary!B12)*D3*(1+Drivers!B21)^(A3/12)</f>
        <v>0</v>
      </c>
      <c r="F3" s="14">
        <f>IF(AND(A3&gt;0,A3&lt;=Drivers!B19),Summary!B11*Drivers!B40/Drivers!B19*(1+Drivers!B21)^(A3/12),Summary!B11*(1-Drivers!B40 )*D3*(1+Drivers!B21)^(A3/12))</f>
        <v>133647.3842</v>
      </c>
      <c r="G3" s="14">
        <f>IF(AND(A3&gt;0,A3&lt;=2),Drivers!B16/2,0)</f>
        <v>750000</v>
      </c>
      <c r="H3" s="14">
        <f>IF(A3=(Drivers!B19+Drivers!B20),Drivers!B17*(1+Drivers!B21)^(A3/12),0)</f>
        <v>0</v>
      </c>
      <c r="I3" s="14">
        <f>IF(AND(A3&gt;0,A3&lt;=(Drivers!B19+Drivers!B20)),Drivers!B18*(1+Drivers!B23)^(A3/12),0)</f>
        <v>50163.68699</v>
      </c>
      <c r="J3" s="14">
        <f t="shared" si="1"/>
        <v>933811.0712</v>
      </c>
      <c r="K3" s="12">
        <f>IF(A3&gt;(Drivers!B19+Drivers!B20),MIN(1,0.5+0.5*(A3-(Drivers!B19+Drivers!B20))/Drivers!B39),0)</f>
        <v>0</v>
      </c>
      <c r="L3" s="14">
        <f>Drivers!B2*(B3-B2)*Drivers!B24*(1+Drivers!B22)^(A3/12)*Drivers!B25*K3</f>
        <v>0</v>
      </c>
      <c r="M3" s="14">
        <f>L3*Drivers!B26</f>
        <v>0</v>
      </c>
      <c r="N3" s="14">
        <f>(L3+M3)*Drivers!B27</f>
        <v>0</v>
      </c>
      <c r="O3" s="14">
        <f>IF(A3&gt;(Drivers!B19+Drivers!B20),Drivers!B28/12*(1+Drivers!B23)^(A3/12),0)</f>
        <v>0</v>
      </c>
      <c r="P3" s="14">
        <f>(L3+M3)*Drivers!B29</f>
        <v>0</v>
      </c>
      <c r="Q3" s="14">
        <f>Drivers!B3*Drivers!B30*(1+Drivers!B22)^(A3/12)*Drivers!B31*(1-Drivers!B32 )*K3</f>
        <v>0</v>
      </c>
      <c r="R3" s="14">
        <f>IF(A3&gt;(Drivers!B19+Drivers!B20),Drivers!B33/12*(1+Drivers!B23)^(A3/12),0)</f>
        <v>0</v>
      </c>
      <c r="S3" s="14">
        <f t="shared" si="2"/>
        <v>0</v>
      </c>
      <c r="T3" s="14">
        <f t="shared" ref="T3:T242" si="6">Y2</f>
        <v>0</v>
      </c>
      <c r="U3" s="14">
        <f>IF(AND(A3&gt;Drivers!B19,A3&lt;=(Drivers!B19+Drivers!B20)),Summary!B31*D3,0)</f>
        <v>0</v>
      </c>
      <c r="V3" s="14">
        <f>IF(A3&lt;=(Drivers!B19+Drivers!B20),(T3+U3/2)*Drivers!B36/12,T3*Drivers!B36/12)</f>
        <v>0</v>
      </c>
      <c r="W3" s="14">
        <f>IF(A3&gt;(Drivers!B19+Drivers!B20),MIN(T3,MAX(0,Summary!B32/12-V3)),0)</f>
        <v>0</v>
      </c>
      <c r="X3" s="14">
        <f>IF(A3=(Drivers!B19+1),Summary!B31*Drivers!B38,0)</f>
        <v>0</v>
      </c>
      <c r="Y3" s="14">
        <f t="shared" si="3"/>
        <v>0</v>
      </c>
      <c r="Z3" s="14">
        <f t="shared" si="4"/>
        <v>-933811.0712</v>
      </c>
      <c r="AA3" s="14">
        <f t="shared" ref="AA3:AA242" si="7">AA2+Z3</f>
        <v>-933811.0712</v>
      </c>
      <c r="AB3" s="14">
        <f t="shared" si="5"/>
        <v>-933811.0712</v>
      </c>
      <c r="AC3" s="14">
        <f>(E3+F3+G3+H3)*Drivers!B45</f>
        <v>132547.1076</v>
      </c>
      <c r="AD3" s="14">
        <f>IF(A3&lt;=Summary!B18,AB3+IF(A3=Summary!B18,Summary!B40,0),0)</f>
        <v>-933811.0712</v>
      </c>
      <c r="AE3" s="14">
        <f>IF(A3&lt;=Summary!B18,Z3+IF(A3=Summary!B18,Summary!B40-Y3,0),0)</f>
        <v>-933811.0712</v>
      </c>
      <c r="AF3" s="14">
        <f>AD3-IF(A3=0,Drivers!B44,0)</f>
        <v>-933811.0712</v>
      </c>
      <c r="AG3" s="14">
        <f t="shared" ref="AG3:AG242" si="8">AG2+AB3</f>
        <v>-933811.0712</v>
      </c>
    </row>
    <row r="4">
      <c r="A4" s="2">
        <v>2.0</v>
      </c>
      <c r="B4" s="15">
        <f>EDATE(Setup!B2,A4)</f>
        <v>46340</v>
      </c>
      <c r="C4" s="2" t="str">
        <f>IF(A4=0,"T0",IF(A4&lt;=Drivers!B19,"Preconstruction",IF(A4&lt;=(Drivers!B19+Drivers!B20),"Construction","Trading")))</f>
        <v>Preconstruction</v>
      </c>
      <c r="D4" s="12">
        <f t="array" ref="D4">IF(AND(A4&gt;Drivers!B19,A4&lt;=(Drivers!B19+Drivers!B20)),SIN(PI()*(A4-Drivers!B19-0.5)/Drivers!B20)/SUMPRODUCT(SIN(PI()*(SEQUENCE(Drivers!B20,1)-0.5)/Drivers!B20)),0)</f>
        <v>0</v>
      </c>
      <c r="E4" s="14">
        <f>(Summary!B10+Summary!B12)*D4*(1+Drivers!B21)^(A4/12)</f>
        <v>0</v>
      </c>
      <c r="F4" s="14">
        <f>IF(AND(A4&gt;0,A4&lt;=Drivers!B19),Summary!B11*Drivers!B40/Drivers!B19*(1+Drivers!B21)^(A4/12),Summary!B11*(1-Drivers!B40 )*D4*(1+Drivers!B21)^(A4/12))</f>
        <v>134297.9196</v>
      </c>
      <c r="G4" s="14">
        <f>IF(AND(A4&gt;0,A4&lt;=2),Drivers!B16/2,0)</f>
        <v>750000</v>
      </c>
      <c r="H4" s="14">
        <f>IF(A4=(Drivers!B19+Drivers!B20),Drivers!B17*(1+Drivers!B21)^(A4/12),0)</f>
        <v>0</v>
      </c>
      <c r="I4" s="14">
        <f>IF(AND(A4&gt;0,A4&lt;=(Drivers!B19+Drivers!B20)),Drivers!B18*(1+Drivers!B23)^(A4/12),0)</f>
        <v>50327.90985</v>
      </c>
      <c r="J4" s="14">
        <f t="shared" si="1"/>
        <v>934625.8295</v>
      </c>
      <c r="K4" s="12">
        <f>IF(A4&gt;(Drivers!B19+Drivers!B20),MIN(1,0.5+0.5*(A4-(Drivers!B19+Drivers!B20))/Drivers!B39),0)</f>
        <v>0</v>
      </c>
      <c r="L4" s="14">
        <f>Drivers!B2*(B4-B3)*Drivers!B24*(1+Drivers!B22)^(A4/12)*Drivers!B25*K4</f>
        <v>0</v>
      </c>
      <c r="M4" s="14">
        <f>L4*Drivers!B26</f>
        <v>0</v>
      </c>
      <c r="N4" s="14">
        <f>(L4+M4)*Drivers!B27</f>
        <v>0</v>
      </c>
      <c r="O4" s="14">
        <f>IF(A4&gt;(Drivers!B19+Drivers!B20),Drivers!B28/12*(1+Drivers!B23)^(A4/12),0)</f>
        <v>0</v>
      </c>
      <c r="P4" s="14">
        <f>(L4+M4)*Drivers!B29</f>
        <v>0</v>
      </c>
      <c r="Q4" s="14">
        <f>Drivers!B3*Drivers!B30*(1+Drivers!B22)^(A4/12)*Drivers!B31*(1-Drivers!B32 )*K4</f>
        <v>0</v>
      </c>
      <c r="R4" s="14">
        <f>IF(A4&gt;(Drivers!B19+Drivers!B20),Drivers!B33/12*(1+Drivers!B23)^(A4/12),0)</f>
        <v>0</v>
      </c>
      <c r="S4" s="14">
        <f t="shared" si="2"/>
        <v>0</v>
      </c>
      <c r="T4" s="14">
        <f t="shared" si="6"/>
        <v>0</v>
      </c>
      <c r="U4" s="14">
        <f>IF(AND(A4&gt;Drivers!B19,A4&lt;=(Drivers!B19+Drivers!B20)),Summary!B31*D4,0)</f>
        <v>0</v>
      </c>
      <c r="V4" s="14">
        <f>IF(A4&lt;=(Drivers!B19+Drivers!B20),(T4+U4/2)*Drivers!B36/12,T4*Drivers!B36/12)</f>
        <v>0</v>
      </c>
      <c r="W4" s="14">
        <f>IF(A4&gt;(Drivers!B19+Drivers!B20),MIN(T4,MAX(0,Summary!B32/12-V4)),0)</f>
        <v>0</v>
      </c>
      <c r="X4" s="14">
        <f>IF(A4=(Drivers!B19+1),Summary!B31*Drivers!B38,0)</f>
        <v>0</v>
      </c>
      <c r="Y4" s="14">
        <f t="shared" si="3"/>
        <v>0</v>
      </c>
      <c r="Z4" s="14">
        <f t="shared" si="4"/>
        <v>-934625.8295</v>
      </c>
      <c r="AA4" s="14">
        <f t="shared" si="7"/>
        <v>-1868436.901</v>
      </c>
      <c r="AB4" s="14">
        <f t="shared" si="5"/>
        <v>-934625.8295</v>
      </c>
      <c r="AC4" s="14">
        <f>(E4+F4+G4+H4)*Drivers!B45</f>
        <v>132644.6879</v>
      </c>
      <c r="AD4" s="14">
        <f>IF(A4&lt;=Summary!B18,AB4+IF(A4=Summary!B18,Summary!B40,0),0)</f>
        <v>-934625.8295</v>
      </c>
      <c r="AE4" s="14">
        <f>IF(A4&lt;=Summary!B18,Z4+IF(A4=Summary!B18,Summary!B40-Y4,0),0)</f>
        <v>-934625.8295</v>
      </c>
      <c r="AF4" s="14">
        <f>AD4-IF(A4=0,Drivers!B44,0)</f>
        <v>-934625.8295</v>
      </c>
      <c r="AG4" s="14">
        <f t="shared" si="8"/>
        <v>-1868436.901</v>
      </c>
    </row>
    <row r="5">
      <c r="A5" s="2">
        <v>3.0</v>
      </c>
      <c r="B5" s="15">
        <f>EDATE(Setup!B2,A5)</f>
        <v>46370</v>
      </c>
      <c r="C5" s="2" t="str">
        <f>IF(A5=0,"T0",IF(A5&lt;=Drivers!B19,"Preconstruction",IF(A5&lt;=(Drivers!B19+Drivers!B20),"Construction","Trading")))</f>
        <v>Preconstruction</v>
      </c>
      <c r="D5" s="12">
        <f t="array" ref="D5">IF(AND(A5&gt;Drivers!B19,A5&lt;=(Drivers!B19+Drivers!B20)),SIN(PI()*(A5-Drivers!B19-0.5)/Drivers!B20)/SUMPRODUCT(SIN(PI()*(SEQUENCE(Drivers!B20,1)-0.5)/Drivers!B20)),0)</f>
        <v>0</v>
      </c>
      <c r="E5" s="14">
        <f>(Summary!B10+Summary!B12)*D5*(1+Drivers!B21)^(A5/12)</f>
        <v>0</v>
      </c>
      <c r="F5" s="14">
        <f>IF(AND(A5&gt;0,A5&lt;=Drivers!B19),Summary!B11*Drivers!B40/Drivers!B19*(1+Drivers!B21)^(A5/12),Summary!B11*(1-Drivers!B40 )*D5*(1+Drivers!B21)^(A5/12))</f>
        <v>134951.6215</v>
      </c>
      <c r="G5" s="14">
        <f>IF(AND(A5&gt;0,A5&lt;=2),Drivers!B16/2,0)</f>
        <v>0</v>
      </c>
      <c r="H5" s="14">
        <f>IF(A5=(Drivers!B19+Drivers!B20),Drivers!B17*(1+Drivers!B21)^(A5/12),0)</f>
        <v>0</v>
      </c>
      <c r="I5" s="14">
        <f>IF(AND(A5&gt;0,A5&lt;=(Drivers!B19+Drivers!B20)),Drivers!B18*(1+Drivers!B23)^(A5/12),0)</f>
        <v>50492.67033</v>
      </c>
      <c r="J5" s="14">
        <f t="shared" si="1"/>
        <v>185444.2919</v>
      </c>
      <c r="K5" s="12">
        <f>IF(A5&gt;(Drivers!B19+Drivers!B20),MIN(1,0.5+0.5*(A5-(Drivers!B19+Drivers!B20))/Drivers!B39),0)</f>
        <v>0</v>
      </c>
      <c r="L5" s="14">
        <f>Drivers!B2*(B5-B4)*Drivers!B24*(1+Drivers!B22)^(A5/12)*Drivers!B25*K5</f>
        <v>0</v>
      </c>
      <c r="M5" s="14">
        <f>L5*Drivers!B26</f>
        <v>0</v>
      </c>
      <c r="N5" s="14">
        <f>(L5+M5)*Drivers!B27</f>
        <v>0</v>
      </c>
      <c r="O5" s="14">
        <f>IF(A5&gt;(Drivers!B19+Drivers!B20),Drivers!B28/12*(1+Drivers!B23)^(A5/12),0)</f>
        <v>0</v>
      </c>
      <c r="P5" s="14">
        <f>(L5+M5)*Drivers!B29</f>
        <v>0</v>
      </c>
      <c r="Q5" s="14">
        <f>Drivers!B3*Drivers!B30*(1+Drivers!B22)^(A5/12)*Drivers!B31*(1-Drivers!B32 )*K5</f>
        <v>0</v>
      </c>
      <c r="R5" s="14">
        <f>IF(A5&gt;(Drivers!B19+Drivers!B20),Drivers!B33/12*(1+Drivers!B23)^(A5/12),0)</f>
        <v>0</v>
      </c>
      <c r="S5" s="14">
        <f t="shared" si="2"/>
        <v>0</v>
      </c>
      <c r="T5" s="14">
        <f t="shared" si="6"/>
        <v>0</v>
      </c>
      <c r="U5" s="14">
        <f>IF(AND(A5&gt;Drivers!B19,A5&lt;=(Drivers!B19+Drivers!B20)),Summary!B31*D5,0)</f>
        <v>0</v>
      </c>
      <c r="V5" s="14">
        <f>IF(A5&lt;=(Drivers!B19+Drivers!B20),(T5+U5/2)*Drivers!B36/12,T5*Drivers!B36/12)</f>
        <v>0</v>
      </c>
      <c r="W5" s="14">
        <f>IF(A5&gt;(Drivers!B19+Drivers!B20),MIN(T5,MAX(0,Summary!B32/12-V5)),0)</f>
        <v>0</v>
      </c>
      <c r="X5" s="14">
        <f>IF(A5=(Drivers!B19+1),Summary!B31*Drivers!B38,0)</f>
        <v>0</v>
      </c>
      <c r="Y5" s="14">
        <f t="shared" si="3"/>
        <v>0</v>
      </c>
      <c r="Z5" s="14">
        <f t="shared" si="4"/>
        <v>-185444.2919</v>
      </c>
      <c r="AA5" s="14">
        <f t="shared" si="7"/>
        <v>-2053881.193</v>
      </c>
      <c r="AB5" s="14">
        <f t="shared" si="5"/>
        <v>-185444.2919</v>
      </c>
      <c r="AC5" s="14">
        <f>(E5+F5+G5+H5)*Drivers!B45</f>
        <v>20242.74323</v>
      </c>
      <c r="AD5" s="14">
        <f>IF(A5&lt;=Summary!B18,AB5+IF(A5=Summary!B18,Summary!B40,0),0)</f>
        <v>-185444.2919</v>
      </c>
      <c r="AE5" s="14">
        <f>IF(A5&lt;=Summary!B18,Z5+IF(A5=Summary!B18,Summary!B40-Y5,0),0)</f>
        <v>-185444.2919</v>
      </c>
      <c r="AF5" s="14">
        <f>AD5-IF(A5=0,Drivers!B44,0)</f>
        <v>-185444.2919</v>
      </c>
      <c r="AG5" s="14">
        <f t="shared" si="8"/>
        <v>-2053881.193</v>
      </c>
    </row>
    <row r="6">
      <c r="A6" s="2">
        <v>4.0</v>
      </c>
      <c r="B6" s="15">
        <f>EDATE(Setup!B2,A6)</f>
        <v>46401</v>
      </c>
      <c r="C6" s="2" t="str">
        <f>IF(A6=0,"T0",IF(A6&lt;=Drivers!B19,"Preconstruction",IF(A6&lt;=(Drivers!B19+Drivers!B20),"Construction","Trading")))</f>
        <v>Preconstruction</v>
      </c>
      <c r="D6" s="12">
        <f t="array" ref="D6">IF(AND(A6&gt;Drivers!B19,A6&lt;=(Drivers!B19+Drivers!B20)),SIN(PI()*(A6-Drivers!B19-0.5)/Drivers!B20)/SUMPRODUCT(SIN(PI()*(SEQUENCE(Drivers!B20,1)-0.5)/Drivers!B20)),0)</f>
        <v>0</v>
      </c>
      <c r="E6" s="14">
        <f>(Summary!B10+Summary!B12)*D6*(1+Drivers!B21)^(A6/12)</f>
        <v>0</v>
      </c>
      <c r="F6" s="14">
        <f>IF(AND(A6&gt;0,A6&lt;=Drivers!B19),Summary!B11*Drivers!B40/Drivers!B19*(1+Drivers!B21)^(A6/12),Summary!B11*(1-Drivers!B40 )*D6*(1+Drivers!B21)^(A6/12))</f>
        <v>135608.5054</v>
      </c>
      <c r="G6" s="14">
        <f>IF(AND(A6&gt;0,A6&lt;=2),Drivers!B16/2,0)</f>
        <v>0</v>
      </c>
      <c r="H6" s="14">
        <f>IF(A6=(Drivers!B19+Drivers!B20),Drivers!B17*(1+Drivers!B21)^(A6/12),0)</f>
        <v>0</v>
      </c>
      <c r="I6" s="14">
        <f>IF(AND(A6&gt;0,A6&lt;=(Drivers!B19+Drivers!B20)),Drivers!B18*(1+Drivers!B23)^(A6/12),0)</f>
        <v>50657.97019</v>
      </c>
      <c r="J6" s="14">
        <f t="shared" si="1"/>
        <v>186266.4756</v>
      </c>
      <c r="K6" s="12">
        <f>IF(A6&gt;(Drivers!B19+Drivers!B20),MIN(1,0.5+0.5*(A6-(Drivers!B19+Drivers!B20))/Drivers!B39),0)</f>
        <v>0</v>
      </c>
      <c r="L6" s="14">
        <f>Drivers!B2*(B6-B5)*Drivers!B24*(1+Drivers!B22)^(A6/12)*Drivers!B25*K6</f>
        <v>0</v>
      </c>
      <c r="M6" s="14">
        <f>L6*Drivers!B26</f>
        <v>0</v>
      </c>
      <c r="N6" s="14">
        <f>(L6+M6)*Drivers!B27</f>
        <v>0</v>
      </c>
      <c r="O6" s="14">
        <f>IF(A6&gt;(Drivers!B19+Drivers!B20),Drivers!B28/12*(1+Drivers!B23)^(A6/12),0)</f>
        <v>0</v>
      </c>
      <c r="P6" s="14">
        <f>(L6+M6)*Drivers!B29</f>
        <v>0</v>
      </c>
      <c r="Q6" s="14">
        <f>Drivers!B3*Drivers!B30*(1+Drivers!B22)^(A6/12)*Drivers!B31*(1-Drivers!B32 )*K6</f>
        <v>0</v>
      </c>
      <c r="R6" s="14">
        <f>IF(A6&gt;(Drivers!B19+Drivers!B20),Drivers!B33/12*(1+Drivers!B23)^(A6/12),0)</f>
        <v>0</v>
      </c>
      <c r="S6" s="14">
        <f t="shared" si="2"/>
        <v>0</v>
      </c>
      <c r="T6" s="14">
        <f t="shared" si="6"/>
        <v>0</v>
      </c>
      <c r="U6" s="14">
        <f>IF(AND(A6&gt;Drivers!B19,A6&lt;=(Drivers!B19+Drivers!B20)),Summary!B31*D6,0)</f>
        <v>0</v>
      </c>
      <c r="V6" s="14">
        <f>IF(A6&lt;=(Drivers!B19+Drivers!B20),(T6+U6/2)*Drivers!B36/12,T6*Drivers!B36/12)</f>
        <v>0</v>
      </c>
      <c r="W6" s="14">
        <f>IF(A6&gt;(Drivers!B19+Drivers!B20),MIN(T6,MAX(0,Summary!B32/12-V6)),0)</f>
        <v>0</v>
      </c>
      <c r="X6" s="14">
        <f>IF(A6=(Drivers!B19+1),Summary!B31*Drivers!B38,0)</f>
        <v>0</v>
      </c>
      <c r="Y6" s="14">
        <f t="shared" si="3"/>
        <v>0</v>
      </c>
      <c r="Z6" s="14">
        <f t="shared" si="4"/>
        <v>-186266.4756</v>
      </c>
      <c r="AA6" s="14">
        <f t="shared" si="7"/>
        <v>-2240147.668</v>
      </c>
      <c r="AB6" s="14">
        <f t="shared" si="5"/>
        <v>-186266.4756</v>
      </c>
      <c r="AC6" s="14">
        <f>(E6+F6+G6+H6)*Drivers!B45</f>
        <v>20341.27581</v>
      </c>
      <c r="AD6" s="14">
        <f>IF(A6&lt;=Summary!B18,AB6+IF(A6=Summary!B18,Summary!B40,0),0)</f>
        <v>-186266.4756</v>
      </c>
      <c r="AE6" s="14">
        <f>IF(A6&lt;=Summary!B18,Z6+IF(A6=Summary!B18,Summary!B40-Y6,0),0)</f>
        <v>-186266.4756</v>
      </c>
      <c r="AF6" s="14">
        <f>AD6-IF(A6=0,Drivers!B44,0)</f>
        <v>-186266.4756</v>
      </c>
      <c r="AG6" s="14">
        <f t="shared" si="8"/>
        <v>-2240147.668</v>
      </c>
    </row>
    <row r="7">
      <c r="A7" s="2">
        <v>5.0</v>
      </c>
      <c r="B7" s="15">
        <f>EDATE(Setup!B2,A7)</f>
        <v>46432</v>
      </c>
      <c r="C7" s="2" t="str">
        <f>IF(A7=0,"T0",IF(A7&lt;=Drivers!B19,"Preconstruction",IF(A7&lt;=(Drivers!B19+Drivers!B20),"Construction","Trading")))</f>
        <v>Preconstruction</v>
      </c>
      <c r="D7" s="12">
        <f t="array" ref="D7">IF(AND(A7&gt;Drivers!B19,A7&lt;=(Drivers!B19+Drivers!B20)),SIN(PI()*(A7-Drivers!B19-0.5)/Drivers!B20)/SUMPRODUCT(SIN(PI()*(SEQUENCE(Drivers!B20,1)-0.5)/Drivers!B20)),0)</f>
        <v>0</v>
      </c>
      <c r="E7" s="14">
        <f>(Summary!B10+Summary!B12)*D7*(1+Drivers!B21)^(A7/12)</f>
        <v>0</v>
      </c>
      <c r="F7" s="14">
        <f>IF(AND(A7&gt;0,A7&lt;=Drivers!B19),Summary!B11*Drivers!B40/Drivers!B19*(1+Drivers!B21)^(A7/12),Summary!B11*(1-Drivers!B40 )*D7*(1+Drivers!B21)^(A7/12))</f>
        <v>136268.5866</v>
      </c>
      <c r="G7" s="14">
        <f>IF(AND(A7&gt;0,A7&lt;=2),Drivers!B16/2,0)</f>
        <v>0</v>
      </c>
      <c r="H7" s="14">
        <f>IF(A7=(Drivers!B19+Drivers!B20),Drivers!B17*(1+Drivers!B21)^(A7/12),0)</f>
        <v>0</v>
      </c>
      <c r="I7" s="14">
        <f>IF(AND(A7&gt;0,A7&lt;=(Drivers!B19+Drivers!B20)),Drivers!B18*(1+Drivers!B23)^(A7/12),0)</f>
        <v>50823.8112</v>
      </c>
      <c r="J7" s="14">
        <f t="shared" si="1"/>
        <v>187092.3978</v>
      </c>
      <c r="K7" s="12">
        <f>IF(A7&gt;(Drivers!B19+Drivers!B20),MIN(1,0.5+0.5*(A7-(Drivers!B19+Drivers!B20))/Drivers!B39),0)</f>
        <v>0</v>
      </c>
      <c r="L7" s="14">
        <f>Drivers!B2*(B7-B6)*Drivers!B24*(1+Drivers!B22)^(A7/12)*Drivers!B25*K7</f>
        <v>0</v>
      </c>
      <c r="M7" s="14">
        <f>L7*Drivers!B26</f>
        <v>0</v>
      </c>
      <c r="N7" s="14">
        <f>(L7+M7)*Drivers!B27</f>
        <v>0</v>
      </c>
      <c r="O7" s="14">
        <f>IF(A7&gt;(Drivers!B19+Drivers!B20),Drivers!B28/12*(1+Drivers!B23)^(A7/12),0)</f>
        <v>0</v>
      </c>
      <c r="P7" s="14">
        <f>(L7+M7)*Drivers!B29</f>
        <v>0</v>
      </c>
      <c r="Q7" s="14">
        <f>Drivers!B3*Drivers!B30*(1+Drivers!B22)^(A7/12)*Drivers!B31*(1-Drivers!B32 )*K7</f>
        <v>0</v>
      </c>
      <c r="R7" s="14">
        <f>IF(A7&gt;(Drivers!B19+Drivers!B20),Drivers!B33/12*(1+Drivers!B23)^(A7/12),0)</f>
        <v>0</v>
      </c>
      <c r="S7" s="14">
        <f t="shared" si="2"/>
        <v>0</v>
      </c>
      <c r="T7" s="14">
        <f t="shared" si="6"/>
        <v>0</v>
      </c>
      <c r="U7" s="14">
        <f>IF(AND(A7&gt;Drivers!B19,A7&lt;=(Drivers!B19+Drivers!B20)),Summary!B31*D7,0)</f>
        <v>0</v>
      </c>
      <c r="V7" s="14">
        <f>IF(A7&lt;=(Drivers!B19+Drivers!B20),(T7+U7/2)*Drivers!B36/12,T7*Drivers!B36/12)</f>
        <v>0</v>
      </c>
      <c r="W7" s="14">
        <f>IF(A7&gt;(Drivers!B19+Drivers!B20),MIN(T7,MAX(0,Summary!B32/12-V7)),0)</f>
        <v>0</v>
      </c>
      <c r="X7" s="14">
        <f>IF(A7=(Drivers!B19+1),Summary!B31*Drivers!B38,0)</f>
        <v>0</v>
      </c>
      <c r="Y7" s="14">
        <f t="shared" si="3"/>
        <v>0</v>
      </c>
      <c r="Z7" s="14">
        <f t="shared" si="4"/>
        <v>-187092.3978</v>
      </c>
      <c r="AA7" s="14">
        <f t="shared" si="7"/>
        <v>-2427240.066</v>
      </c>
      <c r="AB7" s="14">
        <f t="shared" si="5"/>
        <v>-187092.3978</v>
      </c>
      <c r="AC7" s="14">
        <f>(E7+F7+G7+H7)*Drivers!B45</f>
        <v>20440.288</v>
      </c>
      <c r="AD7" s="14">
        <f>IF(A7&lt;=Summary!B18,AB7+IF(A7=Summary!B18,Summary!B40,0),0)</f>
        <v>-187092.3978</v>
      </c>
      <c r="AE7" s="14">
        <f>IF(A7&lt;=Summary!B18,Z7+IF(A7=Summary!B18,Summary!B40-Y7,0),0)</f>
        <v>-187092.3978</v>
      </c>
      <c r="AF7" s="14">
        <f>AD7-IF(A7=0,Drivers!B44,0)</f>
        <v>-187092.3978</v>
      </c>
      <c r="AG7" s="14">
        <f t="shared" si="8"/>
        <v>-2427240.066</v>
      </c>
    </row>
    <row r="8">
      <c r="A8" s="2">
        <v>6.0</v>
      </c>
      <c r="B8" s="15">
        <f>EDATE(Setup!B2,A8)</f>
        <v>46460</v>
      </c>
      <c r="C8" s="2" t="str">
        <f>IF(A8=0,"T0",IF(A8&lt;=Drivers!B19,"Preconstruction",IF(A8&lt;=(Drivers!B19+Drivers!B20),"Construction","Trading")))</f>
        <v>Preconstruction</v>
      </c>
      <c r="D8" s="12">
        <f t="array" ref="D8">IF(AND(A8&gt;Drivers!B19,A8&lt;=(Drivers!B19+Drivers!B20)),SIN(PI()*(A8-Drivers!B19-0.5)/Drivers!B20)/SUMPRODUCT(SIN(PI()*(SEQUENCE(Drivers!B20,1)-0.5)/Drivers!B20)),0)</f>
        <v>0</v>
      </c>
      <c r="E8" s="14">
        <f>(Summary!B10+Summary!B12)*D8*(1+Drivers!B21)^(A8/12)</f>
        <v>0</v>
      </c>
      <c r="F8" s="14">
        <f>IF(AND(A8&gt;0,A8&lt;=Drivers!B19),Summary!B11*Drivers!B40/Drivers!B19*(1+Drivers!B21)^(A8/12),Summary!B11*(1-Drivers!B40 )*D8*(1+Drivers!B21)^(A8/12))</f>
        <v>136931.8809</v>
      </c>
      <c r="G8" s="14">
        <f>IF(AND(A8&gt;0,A8&lt;=2),Drivers!B16/2,0)</f>
        <v>0</v>
      </c>
      <c r="H8" s="14">
        <f>IF(A8=(Drivers!B19+Drivers!B20),Drivers!B17*(1+Drivers!B21)^(A8/12),0)</f>
        <v>0</v>
      </c>
      <c r="I8" s="14">
        <f>IF(AND(A8&gt;0,A8&lt;=(Drivers!B19+Drivers!B20)),Drivers!B18*(1+Drivers!B23)^(A8/12),0)</f>
        <v>50990.19514</v>
      </c>
      <c r="J8" s="14">
        <f t="shared" si="1"/>
        <v>187922.076</v>
      </c>
      <c r="K8" s="12">
        <f>IF(A8&gt;(Drivers!B19+Drivers!B20),MIN(1,0.5+0.5*(A8-(Drivers!B19+Drivers!B20))/Drivers!B39),0)</f>
        <v>0</v>
      </c>
      <c r="L8" s="14">
        <f>Drivers!B2*(B8-B7)*Drivers!B24*(1+Drivers!B22)^(A8/12)*Drivers!B25*K8</f>
        <v>0</v>
      </c>
      <c r="M8" s="14">
        <f>L8*Drivers!B26</f>
        <v>0</v>
      </c>
      <c r="N8" s="14">
        <f>(L8+M8)*Drivers!B27</f>
        <v>0</v>
      </c>
      <c r="O8" s="14">
        <f>IF(A8&gt;(Drivers!B19+Drivers!B20),Drivers!B28/12*(1+Drivers!B23)^(A8/12),0)</f>
        <v>0</v>
      </c>
      <c r="P8" s="14">
        <f>(L8+M8)*Drivers!B29</f>
        <v>0</v>
      </c>
      <c r="Q8" s="14">
        <f>Drivers!B3*Drivers!B30*(1+Drivers!B22)^(A8/12)*Drivers!B31*(1-Drivers!B32 )*K8</f>
        <v>0</v>
      </c>
      <c r="R8" s="14">
        <f>IF(A8&gt;(Drivers!B19+Drivers!B20),Drivers!B33/12*(1+Drivers!B23)^(A8/12),0)</f>
        <v>0</v>
      </c>
      <c r="S8" s="14">
        <f t="shared" si="2"/>
        <v>0</v>
      </c>
      <c r="T8" s="14">
        <f t="shared" si="6"/>
        <v>0</v>
      </c>
      <c r="U8" s="14">
        <f>IF(AND(A8&gt;Drivers!B19,A8&lt;=(Drivers!B19+Drivers!B20)),Summary!B31*D8,0)</f>
        <v>0</v>
      </c>
      <c r="V8" s="14">
        <f>IF(A8&lt;=(Drivers!B19+Drivers!B20),(T8+U8/2)*Drivers!B36/12,T8*Drivers!B36/12)</f>
        <v>0</v>
      </c>
      <c r="W8" s="14">
        <f>IF(A8&gt;(Drivers!B19+Drivers!B20),MIN(T8,MAX(0,Summary!B32/12-V8)),0)</f>
        <v>0</v>
      </c>
      <c r="X8" s="14">
        <f>IF(A8=(Drivers!B19+1),Summary!B31*Drivers!B38,0)</f>
        <v>0</v>
      </c>
      <c r="Y8" s="14">
        <f t="shared" si="3"/>
        <v>0</v>
      </c>
      <c r="Z8" s="14">
        <f t="shared" si="4"/>
        <v>-187922.076</v>
      </c>
      <c r="AA8" s="14">
        <f t="shared" si="7"/>
        <v>-2615162.142</v>
      </c>
      <c r="AB8" s="14">
        <f t="shared" si="5"/>
        <v>-187922.076</v>
      </c>
      <c r="AC8" s="14">
        <f>(E8+F8+G8+H8)*Drivers!B45</f>
        <v>20539.78213</v>
      </c>
      <c r="AD8" s="14">
        <f>IF(A8&lt;=Summary!B18,AB8+IF(A8=Summary!B18,Summary!B40,0),0)</f>
        <v>-187922.076</v>
      </c>
      <c r="AE8" s="14">
        <f>IF(A8&lt;=Summary!B18,Z8+IF(A8=Summary!B18,Summary!B40-Y8,0),0)</f>
        <v>-187922.076</v>
      </c>
      <c r="AF8" s="14">
        <f>AD8-IF(A8=0,Drivers!B44,0)</f>
        <v>-187922.076</v>
      </c>
      <c r="AG8" s="14">
        <f t="shared" si="8"/>
        <v>-2615162.142</v>
      </c>
    </row>
    <row r="9">
      <c r="A9" s="2">
        <v>7.0</v>
      </c>
      <c r="B9" s="15">
        <f>EDATE(Setup!B2,A9)</f>
        <v>46491</v>
      </c>
      <c r="C9" s="2" t="str">
        <f>IF(A9=0,"T0",IF(A9&lt;=Drivers!B19,"Preconstruction",IF(A9&lt;=(Drivers!B19+Drivers!B20),"Construction","Trading")))</f>
        <v>Preconstruction</v>
      </c>
      <c r="D9" s="12">
        <f t="array" ref="D9">IF(AND(A9&gt;Drivers!B19,A9&lt;=(Drivers!B19+Drivers!B20)),SIN(PI()*(A9-Drivers!B19-0.5)/Drivers!B20)/SUMPRODUCT(SIN(PI()*(SEQUENCE(Drivers!B20,1)-0.5)/Drivers!B20)),0)</f>
        <v>0</v>
      </c>
      <c r="E9" s="14">
        <f>(Summary!B10+Summary!B12)*D9*(1+Drivers!B21)^(A9/12)</f>
        <v>0</v>
      </c>
      <c r="F9" s="14">
        <f>IF(AND(A9&gt;0,A9&lt;=Drivers!B19),Summary!B11*Drivers!B40/Drivers!B19*(1+Drivers!B21)^(A9/12),Summary!B11*(1-Drivers!B40 )*D9*(1+Drivers!B21)^(A9/12))</f>
        <v>137598.4037</v>
      </c>
      <c r="G9" s="14">
        <f>IF(AND(A9&gt;0,A9&lt;=2),Drivers!B16/2,0)</f>
        <v>0</v>
      </c>
      <c r="H9" s="14">
        <f>IF(A9=(Drivers!B19+Drivers!B20),Drivers!B17*(1+Drivers!B21)^(A9/12),0)</f>
        <v>0</v>
      </c>
      <c r="I9" s="14">
        <f>IF(AND(A9&gt;0,A9&lt;=(Drivers!B19+Drivers!B20)),Drivers!B18*(1+Drivers!B23)^(A9/12),0)</f>
        <v>51157.12377</v>
      </c>
      <c r="J9" s="14">
        <f t="shared" si="1"/>
        <v>188755.5275</v>
      </c>
      <c r="K9" s="12">
        <f>IF(A9&gt;(Drivers!B19+Drivers!B20),MIN(1,0.5+0.5*(A9-(Drivers!B19+Drivers!B20))/Drivers!B39),0)</f>
        <v>0</v>
      </c>
      <c r="L9" s="14">
        <f>Drivers!B2*(B9-B8)*Drivers!B24*(1+Drivers!B22)^(A9/12)*Drivers!B25*K9</f>
        <v>0</v>
      </c>
      <c r="M9" s="14">
        <f>L9*Drivers!B26</f>
        <v>0</v>
      </c>
      <c r="N9" s="14">
        <f>(L9+M9)*Drivers!B27</f>
        <v>0</v>
      </c>
      <c r="O9" s="14">
        <f>IF(A9&gt;(Drivers!B19+Drivers!B20),Drivers!B28/12*(1+Drivers!B23)^(A9/12),0)</f>
        <v>0</v>
      </c>
      <c r="P9" s="14">
        <f>(L9+M9)*Drivers!B29</f>
        <v>0</v>
      </c>
      <c r="Q9" s="14">
        <f>Drivers!B3*Drivers!B30*(1+Drivers!B22)^(A9/12)*Drivers!B31*(1-Drivers!B32 )*K9</f>
        <v>0</v>
      </c>
      <c r="R9" s="14">
        <f>IF(A9&gt;(Drivers!B19+Drivers!B20),Drivers!B33/12*(1+Drivers!B23)^(A9/12),0)</f>
        <v>0</v>
      </c>
      <c r="S9" s="14">
        <f t="shared" si="2"/>
        <v>0</v>
      </c>
      <c r="T9" s="14">
        <f t="shared" si="6"/>
        <v>0</v>
      </c>
      <c r="U9" s="14">
        <f>IF(AND(A9&gt;Drivers!B19,A9&lt;=(Drivers!B19+Drivers!B20)),Summary!B31*D9,0)</f>
        <v>0</v>
      </c>
      <c r="V9" s="14">
        <f>IF(A9&lt;=(Drivers!B19+Drivers!B20),(T9+U9/2)*Drivers!B36/12,T9*Drivers!B36/12)</f>
        <v>0</v>
      </c>
      <c r="W9" s="14">
        <f>IF(A9&gt;(Drivers!B19+Drivers!B20),MIN(T9,MAX(0,Summary!B32/12-V9)),0)</f>
        <v>0</v>
      </c>
      <c r="X9" s="14">
        <f>IF(A9=(Drivers!B19+1),Summary!B31*Drivers!B38,0)</f>
        <v>0</v>
      </c>
      <c r="Y9" s="14">
        <f t="shared" si="3"/>
        <v>0</v>
      </c>
      <c r="Z9" s="14">
        <f t="shared" si="4"/>
        <v>-188755.5275</v>
      </c>
      <c r="AA9" s="14">
        <f t="shared" si="7"/>
        <v>-2803917.669</v>
      </c>
      <c r="AB9" s="14">
        <f t="shared" si="5"/>
        <v>-188755.5275</v>
      </c>
      <c r="AC9" s="14">
        <f>(E9+F9+G9+H9)*Drivers!B45</f>
        <v>20639.76056</v>
      </c>
      <c r="AD9" s="14">
        <f>IF(A9&lt;=Summary!B18,AB9+IF(A9=Summary!B18,Summary!B40,0),0)</f>
        <v>-188755.5275</v>
      </c>
      <c r="AE9" s="14">
        <f>IF(A9&lt;=Summary!B18,Z9+IF(A9=Summary!B18,Summary!B40-Y9,0),0)</f>
        <v>-188755.5275</v>
      </c>
      <c r="AF9" s="14">
        <f>AD9-IF(A9=0,Drivers!B44,0)</f>
        <v>-188755.5275</v>
      </c>
      <c r="AG9" s="14">
        <f t="shared" si="8"/>
        <v>-2803917.669</v>
      </c>
    </row>
    <row r="10">
      <c r="A10" s="2">
        <v>8.0</v>
      </c>
      <c r="B10" s="15">
        <f>EDATE(Setup!B2,A10)</f>
        <v>46521</v>
      </c>
      <c r="C10" s="2" t="str">
        <f>IF(A10=0,"T0",IF(A10&lt;=Drivers!B19,"Preconstruction",IF(A10&lt;=(Drivers!B19+Drivers!B20),"Construction","Trading")))</f>
        <v>Preconstruction</v>
      </c>
      <c r="D10" s="12">
        <f t="array" ref="D10">IF(AND(A10&gt;Drivers!B19,A10&lt;=(Drivers!B19+Drivers!B20)),SIN(PI()*(A10-Drivers!B19-0.5)/Drivers!B20)/SUMPRODUCT(SIN(PI()*(SEQUENCE(Drivers!B20,1)-0.5)/Drivers!B20)),0)</f>
        <v>0</v>
      </c>
      <c r="E10" s="14">
        <f>(Summary!B10+Summary!B12)*D10*(1+Drivers!B21)^(A10/12)</f>
        <v>0</v>
      </c>
      <c r="F10" s="14">
        <f>IF(AND(A10&gt;0,A10&lt;=Drivers!B19),Summary!B11*Drivers!B40/Drivers!B19*(1+Drivers!B21)^(A10/12),Summary!B11*(1-Drivers!B40 )*D10*(1+Drivers!B21)^(A10/12))</f>
        <v>138268.1709</v>
      </c>
      <c r="G10" s="14">
        <f>IF(AND(A10&gt;0,A10&lt;=2),Drivers!B16/2,0)</f>
        <v>0</v>
      </c>
      <c r="H10" s="14">
        <f>IF(A10=(Drivers!B19+Drivers!B20),Drivers!B17*(1+Drivers!B21)^(A10/12),0)</f>
        <v>0</v>
      </c>
      <c r="I10" s="14">
        <f>IF(AND(A10&gt;0,A10&lt;=(Drivers!B19+Drivers!B20)),Drivers!B18*(1+Drivers!B23)^(A10/12),0)</f>
        <v>51324.59888</v>
      </c>
      <c r="J10" s="14">
        <f t="shared" si="1"/>
        <v>189592.7698</v>
      </c>
      <c r="K10" s="12">
        <f>IF(A10&gt;(Drivers!B19+Drivers!B20),MIN(1,0.5+0.5*(A10-(Drivers!B19+Drivers!B20))/Drivers!B39),0)</f>
        <v>0</v>
      </c>
      <c r="L10" s="14">
        <f>Drivers!B2*(B10-B9)*Drivers!B24*(1+Drivers!B22)^(A10/12)*Drivers!B25*K10</f>
        <v>0</v>
      </c>
      <c r="M10" s="14">
        <f>L10*Drivers!B26</f>
        <v>0</v>
      </c>
      <c r="N10" s="14">
        <f>(L10+M10)*Drivers!B27</f>
        <v>0</v>
      </c>
      <c r="O10" s="14">
        <f>IF(A10&gt;(Drivers!B19+Drivers!B20),Drivers!B28/12*(1+Drivers!B23)^(A10/12),0)</f>
        <v>0</v>
      </c>
      <c r="P10" s="14">
        <f>(L10+M10)*Drivers!B29</f>
        <v>0</v>
      </c>
      <c r="Q10" s="14">
        <f>Drivers!B3*Drivers!B30*(1+Drivers!B22)^(A10/12)*Drivers!B31*(1-Drivers!B32 )*K10</f>
        <v>0</v>
      </c>
      <c r="R10" s="14">
        <f>IF(A10&gt;(Drivers!B19+Drivers!B20),Drivers!B33/12*(1+Drivers!B23)^(A10/12),0)</f>
        <v>0</v>
      </c>
      <c r="S10" s="14">
        <f t="shared" si="2"/>
        <v>0</v>
      </c>
      <c r="T10" s="14">
        <f t="shared" si="6"/>
        <v>0</v>
      </c>
      <c r="U10" s="14">
        <f>IF(AND(A10&gt;Drivers!B19,A10&lt;=(Drivers!B19+Drivers!B20)),Summary!B31*D10,0)</f>
        <v>0</v>
      </c>
      <c r="V10" s="14">
        <f>IF(A10&lt;=(Drivers!B19+Drivers!B20),(T10+U10/2)*Drivers!B36/12,T10*Drivers!B36/12)</f>
        <v>0</v>
      </c>
      <c r="W10" s="14">
        <f>IF(A10&gt;(Drivers!B19+Drivers!B20),MIN(T10,MAX(0,Summary!B32/12-V10)),0)</f>
        <v>0</v>
      </c>
      <c r="X10" s="14">
        <f>IF(A10=(Drivers!B19+1),Summary!B31*Drivers!B38,0)</f>
        <v>0</v>
      </c>
      <c r="Y10" s="14">
        <f t="shared" si="3"/>
        <v>0</v>
      </c>
      <c r="Z10" s="14">
        <f t="shared" si="4"/>
        <v>-189592.7698</v>
      </c>
      <c r="AA10" s="14">
        <f t="shared" si="7"/>
        <v>-2993510.439</v>
      </c>
      <c r="AB10" s="14">
        <f t="shared" si="5"/>
        <v>-189592.7698</v>
      </c>
      <c r="AC10" s="14">
        <f>(E10+F10+G10+H10)*Drivers!B45</f>
        <v>20740.22564</v>
      </c>
      <c r="AD10" s="14">
        <f>IF(A10&lt;=Summary!B18,AB10+IF(A10=Summary!B18,Summary!B40,0),0)</f>
        <v>-189592.7698</v>
      </c>
      <c r="AE10" s="14">
        <f>IF(A10&lt;=Summary!B18,Z10+IF(A10=Summary!B18,Summary!B40-Y10,0),0)</f>
        <v>-189592.7698</v>
      </c>
      <c r="AF10" s="14">
        <f>AD10-IF(A10=0,Drivers!B44,0)</f>
        <v>-189592.7698</v>
      </c>
      <c r="AG10" s="14">
        <f t="shared" si="8"/>
        <v>-2993510.439</v>
      </c>
    </row>
    <row r="11">
      <c r="A11" s="2">
        <v>9.0</v>
      </c>
      <c r="B11" s="15">
        <f>EDATE(Setup!B2,A11)</f>
        <v>46552</v>
      </c>
      <c r="C11" s="2" t="str">
        <f>IF(A11=0,"T0",IF(A11&lt;=Drivers!B19,"Preconstruction",IF(A11&lt;=(Drivers!B19+Drivers!B20),"Construction","Trading")))</f>
        <v>Preconstruction</v>
      </c>
      <c r="D11" s="12">
        <f t="array" ref="D11">IF(AND(A11&gt;Drivers!B19,A11&lt;=(Drivers!B19+Drivers!B20)),SIN(PI()*(A11-Drivers!B19-0.5)/Drivers!B20)/SUMPRODUCT(SIN(PI()*(SEQUENCE(Drivers!B20,1)-0.5)/Drivers!B20)),0)</f>
        <v>0</v>
      </c>
      <c r="E11" s="14">
        <f>(Summary!B10+Summary!B12)*D11*(1+Drivers!B21)^(A11/12)</f>
        <v>0</v>
      </c>
      <c r="F11" s="14">
        <f>IF(AND(A11&gt;0,A11&lt;=Drivers!B19),Summary!B11*Drivers!B40/Drivers!B19*(1+Drivers!B21)^(A11/12),Summary!B11*(1-Drivers!B40 )*D11*(1+Drivers!B21)^(A11/12))</f>
        <v>138941.1982</v>
      </c>
      <c r="G11" s="14">
        <f>IF(AND(A11&gt;0,A11&lt;=2),Drivers!B16/2,0)</f>
        <v>0</v>
      </c>
      <c r="H11" s="14">
        <f>IF(A11=(Drivers!B19+Drivers!B20),Drivers!B17*(1+Drivers!B21)^(A11/12),0)</f>
        <v>0</v>
      </c>
      <c r="I11" s="14">
        <f>IF(AND(A11&gt;0,A11&lt;=(Drivers!B19+Drivers!B20)),Drivers!B18*(1+Drivers!B23)^(A11/12),0)</f>
        <v>51492.62226</v>
      </c>
      <c r="J11" s="14">
        <f t="shared" si="1"/>
        <v>190433.8205</v>
      </c>
      <c r="K11" s="12">
        <f>IF(A11&gt;(Drivers!B19+Drivers!B20),MIN(1,0.5+0.5*(A11-(Drivers!B19+Drivers!B20))/Drivers!B39),0)</f>
        <v>0</v>
      </c>
      <c r="L11" s="14">
        <f>Drivers!B2*(B11-B10)*Drivers!B24*(1+Drivers!B22)^(A11/12)*Drivers!B25*K11</f>
        <v>0</v>
      </c>
      <c r="M11" s="14">
        <f>L11*Drivers!B26</f>
        <v>0</v>
      </c>
      <c r="N11" s="14">
        <f>(L11+M11)*Drivers!B27</f>
        <v>0</v>
      </c>
      <c r="O11" s="14">
        <f>IF(A11&gt;(Drivers!B19+Drivers!B20),Drivers!B28/12*(1+Drivers!B23)^(A11/12),0)</f>
        <v>0</v>
      </c>
      <c r="P11" s="14">
        <f>(L11+M11)*Drivers!B29</f>
        <v>0</v>
      </c>
      <c r="Q11" s="14">
        <f>Drivers!B3*Drivers!B30*(1+Drivers!B22)^(A11/12)*Drivers!B31*(1-Drivers!B32 )*K11</f>
        <v>0</v>
      </c>
      <c r="R11" s="14">
        <f>IF(A11&gt;(Drivers!B19+Drivers!B20),Drivers!B33/12*(1+Drivers!B23)^(A11/12),0)</f>
        <v>0</v>
      </c>
      <c r="S11" s="14">
        <f t="shared" si="2"/>
        <v>0</v>
      </c>
      <c r="T11" s="14">
        <f t="shared" si="6"/>
        <v>0</v>
      </c>
      <c r="U11" s="14">
        <f>IF(AND(A11&gt;Drivers!B19,A11&lt;=(Drivers!B19+Drivers!B20)),Summary!B31*D11,0)</f>
        <v>0</v>
      </c>
      <c r="V11" s="14">
        <f>IF(A11&lt;=(Drivers!B19+Drivers!B20),(T11+U11/2)*Drivers!B36/12,T11*Drivers!B36/12)</f>
        <v>0</v>
      </c>
      <c r="W11" s="14">
        <f>IF(A11&gt;(Drivers!B19+Drivers!B20),MIN(T11,MAX(0,Summary!B32/12-V11)),0)</f>
        <v>0</v>
      </c>
      <c r="X11" s="14">
        <f>IF(A11=(Drivers!B19+1),Summary!B31*Drivers!B38,0)</f>
        <v>0</v>
      </c>
      <c r="Y11" s="14">
        <f t="shared" si="3"/>
        <v>0</v>
      </c>
      <c r="Z11" s="14">
        <f t="shared" si="4"/>
        <v>-190433.8205</v>
      </c>
      <c r="AA11" s="14">
        <f t="shared" si="7"/>
        <v>-3183944.26</v>
      </c>
      <c r="AB11" s="14">
        <f t="shared" si="5"/>
        <v>-190433.8205</v>
      </c>
      <c r="AC11" s="14">
        <f>(E11+F11+G11+H11)*Drivers!B45</f>
        <v>20841.17973</v>
      </c>
      <c r="AD11" s="14">
        <f>IF(A11&lt;=Summary!B18,AB11+IF(A11=Summary!B18,Summary!B40,0),0)</f>
        <v>-190433.8205</v>
      </c>
      <c r="AE11" s="14">
        <f>IF(A11&lt;=Summary!B18,Z11+IF(A11=Summary!B18,Summary!B40-Y11,0),0)</f>
        <v>-190433.8205</v>
      </c>
      <c r="AF11" s="14">
        <f>AD11-IF(A11=0,Drivers!B44,0)</f>
        <v>-190433.8205</v>
      </c>
      <c r="AG11" s="14">
        <f t="shared" si="8"/>
        <v>-3183944.26</v>
      </c>
    </row>
    <row r="12">
      <c r="A12" s="2">
        <v>10.0</v>
      </c>
      <c r="B12" s="15">
        <f>EDATE(Setup!B2,A12)</f>
        <v>46582</v>
      </c>
      <c r="C12" s="2" t="str">
        <f>IF(A12=0,"T0",IF(A12&lt;=Drivers!B19,"Preconstruction",IF(A12&lt;=(Drivers!B19+Drivers!B20),"Construction","Trading")))</f>
        <v>Preconstruction</v>
      </c>
      <c r="D12" s="12">
        <f t="array" ref="D12">IF(AND(A12&gt;Drivers!B19,A12&lt;=(Drivers!B19+Drivers!B20)),SIN(PI()*(A12-Drivers!B19-0.5)/Drivers!B20)/SUMPRODUCT(SIN(PI()*(SEQUENCE(Drivers!B20,1)-0.5)/Drivers!B20)),0)</f>
        <v>0</v>
      </c>
      <c r="E12" s="14">
        <f>(Summary!B10+Summary!B12)*D12*(1+Drivers!B21)^(A12/12)</f>
        <v>0</v>
      </c>
      <c r="F12" s="14">
        <f>IF(AND(A12&gt;0,A12&lt;=Drivers!B19),Summary!B11*Drivers!B40/Drivers!B19*(1+Drivers!B21)^(A12/12),Summary!B11*(1-Drivers!B40 )*D12*(1+Drivers!B21)^(A12/12))</f>
        <v>139617.5015</v>
      </c>
      <c r="G12" s="14">
        <f>IF(AND(A12&gt;0,A12&lt;=2),Drivers!B16/2,0)</f>
        <v>0</v>
      </c>
      <c r="H12" s="14">
        <f>IF(A12=(Drivers!B19+Drivers!B20),Drivers!B17*(1+Drivers!B21)^(A12/12),0)</f>
        <v>0</v>
      </c>
      <c r="I12" s="14">
        <f>IF(AND(A12&gt;0,A12&lt;=(Drivers!B19+Drivers!B20)),Drivers!B18*(1+Drivers!B23)^(A12/12),0)</f>
        <v>51661.1957</v>
      </c>
      <c r="J12" s="14">
        <f t="shared" si="1"/>
        <v>191278.6972</v>
      </c>
      <c r="K12" s="12">
        <f>IF(A12&gt;(Drivers!B19+Drivers!B20),MIN(1,0.5+0.5*(A12-(Drivers!B19+Drivers!B20))/Drivers!B39),0)</f>
        <v>0</v>
      </c>
      <c r="L12" s="14">
        <f>Drivers!B2*(B12-B11)*Drivers!B24*(1+Drivers!B22)^(A12/12)*Drivers!B25*K12</f>
        <v>0</v>
      </c>
      <c r="M12" s="14">
        <f>L12*Drivers!B26</f>
        <v>0</v>
      </c>
      <c r="N12" s="14">
        <f>(L12+M12)*Drivers!B27</f>
        <v>0</v>
      </c>
      <c r="O12" s="14">
        <f>IF(A12&gt;(Drivers!B19+Drivers!B20),Drivers!B28/12*(1+Drivers!B23)^(A12/12),0)</f>
        <v>0</v>
      </c>
      <c r="P12" s="14">
        <f>(L12+M12)*Drivers!B29</f>
        <v>0</v>
      </c>
      <c r="Q12" s="14">
        <f>Drivers!B3*Drivers!B30*(1+Drivers!B22)^(A12/12)*Drivers!B31*(1-Drivers!B32 )*K12</f>
        <v>0</v>
      </c>
      <c r="R12" s="14">
        <f>IF(A12&gt;(Drivers!B19+Drivers!B20),Drivers!B33/12*(1+Drivers!B23)^(A12/12),0)</f>
        <v>0</v>
      </c>
      <c r="S12" s="14">
        <f t="shared" si="2"/>
        <v>0</v>
      </c>
      <c r="T12" s="14">
        <f t="shared" si="6"/>
        <v>0</v>
      </c>
      <c r="U12" s="14">
        <f>IF(AND(A12&gt;Drivers!B19,A12&lt;=(Drivers!B19+Drivers!B20)),Summary!B31*D12,0)</f>
        <v>0</v>
      </c>
      <c r="V12" s="14">
        <f>IF(A12&lt;=(Drivers!B19+Drivers!B20),(T12+U12/2)*Drivers!B36/12,T12*Drivers!B36/12)</f>
        <v>0</v>
      </c>
      <c r="W12" s="14">
        <f>IF(A12&gt;(Drivers!B19+Drivers!B20),MIN(T12,MAX(0,Summary!B32/12-V12)),0)</f>
        <v>0</v>
      </c>
      <c r="X12" s="14">
        <f>IF(A12=(Drivers!B19+1),Summary!B31*Drivers!B38,0)</f>
        <v>0</v>
      </c>
      <c r="Y12" s="14">
        <f t="shared" si="3"/>
        <v>0</v>
      </c>
      <c r="Z12" s="14">
        <f t="shared" si="4"/>
        <v>-191278.6972</v>
      </c>
      <c r="AA12" s="14">
        <f t="shared" si="7"/>
        <v>-3375222.957</v>
      </c>
      <c r="AB12" s="14">
        <f t="shared" si="5"/>
        <v>-191278.6972</v>
      </c>
      <c r="AC12" s="14">
        <f>(E12+F12+G12+H12)*Drivers!B45</f>
        <v>20942.62523</v>
      </c>
      <c r="AD12" s="14">
        <f>IF(A12&lt;=Summary!B18,AB12+IF(A12=Summary!B18,Summary!B40,0),0)</f>
        <v>-191278.6972</v>
      </c>
      <c r="AE12" s="14">
        <f>IF(A12&lt;=Summary!B18,Z12+IF(A12=Summary!B18,Summary!B40-Y12,0),0)</f>
        <v>-191278.6972</v>
      </c>
      <c r="AF12" s="14">
        <f>AD12-IF(A12=0,Drivers!B44,0)</f>
        <v>-191278.6972</v>
      </c>
      <c r="AG12" s="14">
        <f t="shared" si="8"/>
        <v>-3375222.957</v>
      </c>
    </row>
    <row r="13">
      <c r="A13" s="2">
        <v>11.0</v>
      </c>
      <c r="B13" s="15">
        <f>EDATE(Setup!B2,A13)</f>
        <v>46613</v>
      </c>
      <c r="C13" s="2" t="str">
        <f>IF(A13=0,"T0",IF(A13&lt;=Drivers!B19,"Preconstruction",IF(A13&lt;=(Drivers!B19+Drivers!B20),"Construction","Trading")))</f>
        <v>Preconstruction</v>
      </c>
      <c r="D13" s="12">
        <f t="array" ref="D13">IF(AND(A13&gt;Drivers!B19,A13&lt;=(Drivers!B19+Drivers!B20)),SIN(PI()*(A13-Drivers!B19-0.5)/Drivers!B20)/SUMPRODUCT(SIN(PI()*(SEQUENCE(Drivers!B20,1)-0.5)/Drivers!B20)),0)</f>
        <v>0</v>
      </c>
      <c r="E13" s="14">
        <f>(Summary!B10+Summary!B12)*D13*(1+Drivers!B21)^(A13/12)</f>
        <v>0</v>
      </c>
      <c r="F13" s="14">
        <f>IF(AND(A13&gt;0,A13&lt;=Drivers!B19),Summary!B11*Drivers!B40/Drivers!B19*(1+Drivers!B21)^(A13/12),Summary!B11*(1-Drivers!B40 )*D13*(1+Drivers!B21)^(A13/12))</f>
        <v>140297.0968</v>
      </c>
      <c r="G13" s="14">
        <f>IF(AND(A13&gt;0,A13&lt;=2),Drivers!B16/2,0)</f>
        <v>0</v>
      </c>
      <c r="H13" s="14">
        <f>IF(A13=(Drivers!B19+Drivers!B20),Drivers!B17*(1+Drivers!B21)^(A13/12),0)</f>
        <v>0</v>
      </c>
      <c r="I13" s="14">
        <f>IF(AND(A13&gt;0,A13&lt;=(Drivers!B19+Drivers!B20)),Drivers!B18*(1+Drivers!B23)^(A13/12),0)</f>
        <v>51830.32102</v>
      </c>
      <c r="J13" s="14">
        <f t="shared" si="1"/>
        <v>192127.4178</v>
      </c>
      <c r="K13" s="12">
        <f>IF(A13&gt;(Drivers!B19+Drivers!B20),MIN(1,0.5+0.5*(A13-(Drivers!B19+Drivers!B20))/Drivers!B39),0)</f>
        <v>0</v>
      </c>
      <c r="L13" s="14">
        <f>Drivers!B2*(B13-B12)*Drivers!B24*(1+Drivers!B22)^(A13/12)*Drivers!B25*K13</f>
        <v>0</v>
      </c>
      <c r="M13" s="14">
        <f>L13*Drivers!B26</f>
        <v>0</v>
      </c>
      <c r="N13" s="14">
        <f>(L13+M13)*Drivers!B27</f>
        <v>0</v>
      </c>
      <c r="O13" s="14">
        <f>IF(A13&gt;(Drivers!B19+Drivers!B20),Drivers!B28/12*(1+Drivers!B23)^(A13/12),0)</f>
        <v>0</v>
      </c>
      <c r="P13" s="14">
        <f>(L13+M13)*Drivers!B29</f>
        <v>0</v>
      </c>
      <c r="Q13" s="14">
        <f>Drivers!B3*Drivers!B30*(1+Drivers!B22)^(A13/12)*Drivers!B31*(1-Drivers!B32 )*K13</f>
        <v>0</v>
      </c>
      <c r="R13" s="14">
        <f>IF(A13&gt;(Drivers!B19+Drivers!B20),Drivers!B33/12*(1+Drivers!B23)^(A13/12),0)</f>
        <v>0</v>
      </c>
      <c r="S13" s="14">
        <f t="shared" si="2"/>
        <v>0</v>
      </c>
      <c r="T13" s="14">
        <f t="shared" si="6"/>
        <v>0</v>
      </c>
      <c r="U13" s="14">
        <f>IF(AND(A13&gt;Drivers!B19,A13&lt;=(Drivers!B19+Drivers!B20)),Summary!B31*D13,0)</f>
        <v>0</v>
      </c>
      <c r="V13" s="14">
        <f>IF(A13&lt;=(Drivers!B19+Drivers!B20),(T13+U13/2)*Drivers!B36/12,T13*Drivers!B36/12)</f>
        <v>0</v>
      </c>
      <c r="W13" s="14">
        <f>IF(A13&gt;(Drivers!B19+Drivers!B20),MIN(T13,MAX(0,Summary!B32/12-V13)),0)</f>
        <v>0</v>
      </c>
      <c r="X13" s="14">
        <f>IF(A13=(Drivers!B19+1),Summary!B31*Drivers!B38,0)</f>
        <v>0</v>
      </c>
      <c r="Y13" s="14">
        <f t="shared" si="3"/>
        <v>0</v>
      </c>
      <c r="Z13" s="14">
        <f t="shared" si="4"/>
        <v>-192127.4178</v>
      </c>
      <c r="AA13" s="14">
        <f t="shared" si="7"/>
        <v>-3567350.375</v>
      </c>
      <c r="AB13" s="14">
        <f t="shared" si="5"/>
        <v>-192127.4178</v>
      </c>
      <c r="AC13" s="14">
        <f>(E13+F13+G13+H13)*Drivers!B45</f>
        <v>21044.56452</v>
      </c>
      <c r="AD13" s="14">
        <f>IF(A13&lt;=Summary!B18,AB13+IF(A13=Summary!B18,Summary!B40,0),0)</f>
        <v>-192127.4178</v>
      </c>
      <c r="AE13" s="14">
        <f>IF(A13&lt;=Summary!B18,Z13+IF(A13=Summary!B18,Summary!B40-Y13,0),0)</f>
        <v>-192127.4178</v>
      </c>
      <c r="AF13" s="14">
        <f>AD13-IF(A13=0,Drivers!B44,0)</f>
        <v>-192127.4178</v>
      </c>
      <c r="AG13" s="14">
        <f t="shared" si="8"/>
        <v>-3567350.375</v>
      </c>
    </row>
    <row r="14">
      <c r="A14" s="2">
        <v>12.0</v>
      </c>
      <c r="B14" s="15">
        <f>EDATE(Setup!B2,A14)</f>
        <v>46644</v>
      </c>
      <c r="C14" s="2" t="str">
        <f>IF(A14=0,"T0",IF(A14&lt;=Drivers!B19,"Preconstruction",IF(A14&lt;=(Drivers!B19+Drivers!B20),"Construction","Trading")))</f>
        <v>Preconstruction</v>
      </c>
      <c r="D14" s="12">
        <f t="array" ref="D14">IF(AND(A14&gt;Drivers!B19,A14&lt;=(Drivers!B19+Drivers!B20)),SIN(PI()*(A14-Drivers!B19-0.5)/Drivers!B20)/SUMPRODUCT(SIN(PI()*(SEQUENCE(Drivers!B20,1)-0.5)/Drivers!B20)),0)</f>
        <v>0</v>
      </c>
      <c r="E14" s="14">
        <f>(Summary!B10+Summary!B12)*D14*(1+Drivers!B21)^(A14/12)</f>
        <v>0</v>
      </c>
      <c r="F14" s="14">
        <f>IF(AND(A14&gt;0,A14&lt;=Drivers!B19),Summary!B11*Drivers!B40/Drivers!B19*(1+Drivers!B21)^(A14/12),Summary!B11*(1-Drivers!B40 )*D14*(1+Drivers!B21)^(A14/12))</f>
        <v>140980</v>
      </c>
      <c r="G14" s="14">
        <f>IF(AND(A14&gt;0,A14&lt;=2),Drivers!B16/2,0)</f>
        <v>0</v>
      </c>
      <c r="H14" s="14">
        <f>IF(A14=(Drivers!B19+Drivers!B20),Drivers!B17*(1+Drivers!B21)^(A14/12),0)</f>
        <v>0</v>
      </c>
      <c r="I14" s="14">
        <f>IF(AND(A14&gt;0,A14&lt;=(Drivers!B19+Drivers!B20)),Drivers!B18*(1+Drivers!B23)^(A14/12),0)</f>
        <v>52000</v>
      </c>
      <c r="J14" s="14">
        <f t="shared" si="1"/>
        <v>192980</v>
      </c>
      <c r="K14" s="12">
        <f>IF(A14&gt;(Drivers!B19+Drivers!B20),MIN(1,0.5+0.5*(A14-(Drivers!B19+Drivers!B20))/Drivers!B39),0)</f>
        <v>0</v>
      </c>
      <c r="L14" s="14">
        <f>Drivers!B2*(B14-B13)*Drivers!B24*(1+Drivers!B22)^(A14/12)*Drivers!B25*K14</f>
        <v>0</v>
      </c>
      <c r="M14" s="14">
        <f>L14*Drivers!B26</f>
        <v>0</v>
      </c>
      <c r="N14" s="14">
        <f>(L14+M14)*Drivers!B27</f>
        <v>0</v>
      </c>
      <c r="O14" s="14">
        <f>IF(A14&gt;(Drivers!B19+Drivers!B20),Drivers!B28/12*(1+Drivers!B23)^(A14/12),0)</f>
        <v>0</v>
      </c>
      <c r="P14" s="14">
        <f>(L14+M14)*Drivers!B29</f>
        <v>0</v>
      </c>
      <c r="Q14" s="14">
        <f>Drivers!B3*Drivers!B30*(1+Drivers!B22)^(A14/12)*Drivers!B31*(1-Drivers!B32 )*K14</f>
        <v>0</v>
      </c>
      <c r="R14" s="14">
        <f>IF(A14&gt;(Drivers!B19+Drivers!B20),Drivers!B33/12*(1+Drivers!B23)^(A14/12),0)</f>
        <v>0</v>
      </c>
      <c r="S14" s="14">
        <f t="shared" si="2"/>
        <v>0</v>
      </c>
      <c r="T14" s="14">
        <f t="shared" si="6"/>
        <v>0</v>
      </c>
      <c r="U14" s="14">
        <f>IF(AND(A14&gt;Drivers!B19,A14&lt;=(Drivers!B19+Drivers!B20)),Summary!B31*D14,0)</f>
        <v>0</v>
      </c>
      <c r="V14" s="14">
        <f>IF(A14&lt;=(Drivers!B19+Drivers!B20),(T14+U14/2)*Drivers!B36/12,T14*Drivers!B36/12)</f>
        <v>0</v>
      </c>
      <c r="W14" s="14">
        <f>IF(A14&gt;(Drivers!B19+Drivers!B20),MIN(T14,MAX(0,Summary!B32/12-V14)),0)</f>
        <v>0</v>
      </c>
      <c r="X14" s="14">
        <f>IF(A14=(Drivers!B19+1),Summary!B31*Drivers!B38,0)</f>
        <v>0</v>
      </c>
      <c r="Y14" s="14">
        <f t="shared" si="3"/>
        <v>0</v>
      </c>
      <c r="Z14" s="14">
        <f t="shared" si="4"/>
        <v>-192980</v>
      </c>
      <c r="AA14" s="14">
        <f t="shared" si="7"/>
        <v>-3760330.375</v>
      </c>
      <c r="AB14" s="14">
        <f t="shared" si="5"/>
        <v>-192980</v>
      </c>
      <c r="AC14" s="14">
        <f>(E14+F14+G14+H14)*Drivers!B45</f>
        <v>21147</v>
      </c>
      <c r="AD14" s="14">
        <f>IF(A14&lt;=Summary!B18,AB14+IF(A14=Summary!B18,Summary!B40,0),0)</f>
        <v>-192980</v>
      </c>
      <c r="AE14" s="14">
        <f>IF(A14&lt;=Summary!B18,Z14+IF(A14=Summary!B18,Summary!B40-Y14,0),0)</f>
        <v>-192980</v>
      </c>
      <c r="AF14" s="14">
        <f>AD14-IF(A14=0,Drivers!B44,0)</f>
        <v>-192980</v>
      </c>
      <c r="AG14" s="14">
        <f t="shared" si="8"/>
        <v>-3760330.375</v>
      </c>
    </row>
    <row r="15">
      <c r="A15" s="2">
        <v>13.0</v>
      </c>
      <c r="B15" s="15">
        <f>EDATE(Setup!B2,A15)</f>
        <v>46674</v>
      </c>
      <c r="C15" s="2" t="str">
        <f>IF(A15=0,"T0",IF(A15&lt;=Drivers!B19,"Preconstruction",IF(A15&lt;=(Drivers!B19+Drivers!B20),"Construction","Trading")))</f>
        <v>Preconstruction</v>
      </c>
      <c r="D15" s="12">
        <f t="array" ref="D15">IF(AND(A15&gt;Drivers!B19,A15&lt;=(Drivers!B19+Drivers!B20)),SIN(PI()*(A15-Drivers!B19-0.5)/Drivers!B20)/SUMPRODUCT(SIN(PI()*(SEQUENCE(Drivers!B20,1)-0.5)/Drivers!B20)),0)</f>
        <v>0</v>
      </c>
      <c r="E15" s="14">
        <f>(Summary!B10+Summary!B12)*D15*(1+Drivers!B21)^(A15/12)</f>
        <v>0</v>
      </c>
      <c r="F15" s="14">
        <f>IF(AND(A15&gt;0,A15&lt;=Drivers!B19),Summary!B11*Drivers!B40/Drivers!B19*(1+Drivers!B21)^(A15/12),Summary!B11*(1-Drivers!B40 )*D15*(1+Drivers!B21)^(A15/12))</f>
        <v>141666.2273</v>
      </c>
      <c r="G15" s="14">
        <f>IF(AND(A15&gt;0,A15&lt;=2),Drivers!B16/2,0)</f>
        <v>0</v>
      </c>
      <c r="H15" s="14">
        <f>IF(A15=(Drivers!B19+Drivers!B20),Drivers!B17*(1+Drivers!B21)^(A15/12),0)</f>
        <v>0</v>
      </c>
      <c r="I15" s="14">
        <f>IF(AND(A15&gt;0,A15&lt;=(Drivers!B19+Drivers!B20)),Drivers!B18*(1+Drivers!B23)^(A15/12),0)</f>
        <v>52170.23447</v>
      </c>
      <c r="J15" s="14">
        <f t="shared" si="1"/>
        <v>193836.4617</v>
      </c>
      <c r="K15" s="12">
        <f>IF(A15&gt;(Drivers!B19+Drivers!B20),MIN(1,0.5+0.5*(A15-(Drivers!B19+Drivers!B20))/Drivers!B39),0)</f>
        <v>0</v>
      </c>
      <c r="L15" s="14">
        <f>Drivers!B2*(B15-B14)*Drivers!B24*(1+Drivers!B22)^(A15/12)*Drivers!B25*K15</f>
        <v>0</v>
      </c>
      <c r="M15" s="14">
        <f>L15*Drivers!B26</f>
        <v>0</v>
      </c>
      <c r="N15" s="14">
        <f>(L15+M15)*Drivers!B27</f>
        <v>0</v>
      </c>
      <c r="O15" s="14">
        <f>IF(A15&gt;(Drivers!B19+Drivers!B20),Drivers!B28/12*(1+Drivers!B23)^(A15/12),0)</f>
        <v>0</v>
      </c>
      <c r="P15" s="14">
        <f>(L15+M15)*Drivers!B29</f>
        <v>0</v>
      </c>
      <c r="Q15" s="14">
        <f>Drivers!B3*Drivers!B30*(1+Drivers!B22)^(A15/12)*Drivers!B31*(1-Drivers!B32 )*K15</f>
        <v>0</v>
      </c>
      <c r="R15" s="14">
        <f>IF(A15&gt;(Drivers!B19+Drivers!B20),Drivers!B33/12*(1+Drivers!B23)^(A15/12),0)</f>
        <v>0</v>
      </c>
      <c r="S15" s="14">
        <f t="shared" si="2"/>
        <v>0</v>
      </c>
      <c r="T15" s="14">
        <f t="shared" si="6"/>
        <v>0</v>
      </c>
      <c r="U15" s="14">
        <f>IF(AND(A15&gt;Drivers!B19,A15&lt;=(Drivers!B19+Drivers!B20)),Summary!B31*D15,0)</f>
        <v>0</v>
      </c>
      <c r="V15" s="14">
        <f>IF(A15&lt;=(Drivers!B19+Drivers!B20),(T15+U15/2)*Drivers!B36/12,T15*Drivers!B36/12)</f>
        <v>0</v>
      </c>
      <c r="W15" s="14">
        <f>IF(A15&gt;(Drivers!B19+Drivers!B20),MIN(T15,MAX(0,Summary!B32/12-V15)),0)</f>
        <v>0</v>
      </c>
      <c r="X15" s="14">
        <f>IF(A15=(Drivers!B19+1),Summary!B31*Drivers!B38,0)</f>
        <v>0</v>
      </c>
      <c r="Y15" s="14">
        <f t="shared" si="3"/>
        <v>0</v>
      </c>
      <c r="Z15" s="14">
        <f t="shared" si="4"/>
        <v>-193836.4617</v>
      </c>
      <c r="AA15" s="14">
        <f t="shared" si="7"/>
        <v>-3954166.837</v>
      </c>
      <c r="AB15" s="14">
        <f t="shared" si="5"/>
        <v>-193836.4617</v>
      </c>
      <c r="AC15" s="14">
        <f>(E15+F15+G15+H15)*Drivers!B45</f>
        <v>21249.93409</v>
      </c>
      <c r="AD15" s="14">
        <f>IF(A15&lt;=Summary!B18,AB15+IF(A15=Summary!B18,Summary!B40,0),0)</f>
        <v>-193836.4617</v>
      </c>
      <c r="AE15" s="14">
        <f>IF(A15&lt;=Summary!B18,Z15+IF(A15=Summary!B18,Summary!B40-Y15,0),0)</f>
        <v>-193836.4617</v>
      </c>
      <c r="AF15" s="14">
        <f>AD15-IF(A15=0,Drivers!B44,0)</f>
        <v>-193836.4617</v>
      </c>
      <c r="AG15" s="14">
        <f t="shared" si="8"/>
        <v>-3954166.837</v>
      </c>
    </row>
    <row r="16">
      <c r="A16" s="2">
        <v>14.0</v>
      </c>
      <c r="B16" s="15">
        <f>EDATE(Setup!B2,A16)</f>
        <v>46705</v>
      </c>
      <c r="C16" s="2" t="str">
        <f>IF(A16=0,"T0",IF(A16&lt;=Drivers!B19,"Preconstruction",IF(A16&lt;=(Drivers!B19+Drivers!B20),"Construction","Trading")))</f>
        <v>Preconstruction</v>
      </c>
      <c r="D16" s="12">
        <f t="array" ref="D16">IF(AND(A16&gt;Drivers!B19,A16&lt;=(Drivers!B19+Drivers!B20)),SIN(PI()*(A16-Drivers!B19-0.5)/Drivers!B20)/SUMPRODUCT(SIN(PI()*(SEQUENCE(Drivers!B20,1)-0.5)/Drivers!B20)),0)</f>
        <v>0</v>
      </c>
      <c r="E16" s="14">
        <f>(Summary!B10+Summary!B12)*D16*(1+Drivers!B21)^(A16/12)</f>
        <v>0</v>
      </c>
      <c r="F16" s="14">
        <f>IF(AND(A16&gt;0,A16&lt;=Drivers!B19),Summary!B11*Drivers!B40/Drivers!B19*(1+Drivers!B21)^(A16/12),Summary!B11*(1-Drivers!B40 )*D16*(1+Drivers!B21)^(A16/12))</f>
        <v>142355.7948</v>
      </c>
      <c r="G16" s="14">
        <f>IF(AND(A16&gt;0,A16&lt;=2),Drivers!B16/2,0)</f>
        <v>0</v>
      </c>
      <c r="H16" s="14">
        <f>IF(A16=(Drivers!B19+Drivers!B20),Drivers!B17*(1+Drivers!B21)^(A16/12),0)</f>
        <v>0</v>
      </c>
      <c r="I16" s="14">
        <f>IF(AND(A16&gt;0,A16&lt;=(Drivers!B19+Drivers!B20)),Drivers!B18*(1+Drivers!B23)^(A16/12),0)</f>
        <v>52341.02624</v>
      </c>
      <c r="J16" s="14">
        <f t="shared" si="1"/>
        <v>194696.821</v>
      </c>
      <c r="K16" s="12">
        <f>IF(A16&gt;(Drivers!B19+Drivers!B20),MIN(1,0.5+0.5*(A16-(Drivers!B19+Drivers!B20))/Drivers!B39),0)</f>
        <v>0</v>
      </c>
      <c r="L16" s="14">
        <f>Drivers!B2*(B16-B15)*Drivers!B24*(1+Drivers!B22)^(A16/12)*Drivers!B25*K16</f>
        <v>0</v>
      </c>
      <c r="M16" s="14">
        <f>L16*Drivers!B26</f>
        <v>0</v>
      </c>
      <c r="N16" s="14">
        <f>(L16+M16)*Drivers!B27</f>
        <v>0</v>
      </c>
      <c r="O16" s="14">
        <f>IF(A16&gt;(Drivers!B19+Drivers!B20),Drivers!B28/12*(1+Drivers!B23)^(A16/12),0)</f>
        <v>0</v>
      </c>
      <c r="P16" s="14">
        <f>(L16+M16)*Drivers!B29</f>
        <v>0</v>
      </c>
      <c r="Q16" s="14">
        <f>Drivers!B3*Drivers!B30*(1+Drivers!B22)^(A16/12)*Drivers!B31*(1-Drivers!B32 )*K16</f>
        <v>0</v>
      </c>
      <c r="R16" s="14">
        <f>IF(A16&gt;(Drivers!B19+Drivers!B20),Drivers!B33/12*(1+Drivers!B23)^(A16/12),0)</f>
        <v>0</v>
      </c>
      <c r="S16" s="14">
        <f t="shared" si="2"/>
        <v>0</v>
      </c>
      <c r="T16" s="14">
        <f t="shared" si="6"/>
        <v>0</v>
      </c>
      <c r="U16" s="14">
        <f>IF(AND(A16&gt;Drivers!B19,A16&lt;=(Drivers!B19+Drivers!B20)),Summary!B31*D16,0)</f>
        <v>0</v>
      </c>
      <c r="V16" s="14">
        <f>IF(A16&lt;=(Drivers!B19+Drivers!B20),(T16+U16/2)*Drivers!B36/12,T16*Drivers!B36/12)</f>
        <v>0</v>
      </c>
      <c r="W16" s="14">
        <f>IF(A16&gt;(Drivers!B19+Drivers!B20),MIN(T16,MAX(0,Summary!B32/12-V16)),0)</f>
        <v>0</v>
      </c>
      <c r="X16" s="14">
        <f>IF(A16=(Drivers!B19+1),Summary!B31*Drivers!B38,0)</f>
        <v>0</v>
      </c>
      <c r="Y16" s="14">
        <f t="shared" si="3"/>
        <v>0</v>
      </c>
      <c r="Z16" s="14">
        <f t="shared" si="4"/>
        <v>-194696.821</v>
      </c>
      <c r="AA16" s="14">
        <f t="shared" si="7"/>
        <v>-4148863.658</v>
      </c>
      <c r="AB16" s="14">
        <f t="shared" si="5"/>
        <v>-194696.821</v>
      </c>
      <c r="AC16" s="14">
        <f>(E16+F16+G16+H16)*Drivers!B45</f>
        <v>21353.36922</v>
      </c>
      <c r="AD16" s="14">
        <f>IF(A16&lt;=Summary!B18,AB16+IF(A16=Summary!B18,Summary!B40,0),0)</f>
        <v>-194696.821</v>
      </c>
      <c r="AE16" s="14">
        <f>IF(A16&lt;=Summary!B18,Z16+IF(A16=Summary!B18,Summary!B40-Y16,0),0)</f>
        <v>-194696.821</v>
      </c>
      <c r="AF16" s="14">
        <f>AD16-IF(A16=0,Drivers!B44,0)</f>
        <v>-194696.821</v>
      </c>
      <c r="AG16" s="14">
        <f t="shared" si="8"/>
        <v>-4148863.658</v>
      </c>
    </row>
    <row r="17">
      <c r="A17" s="2">
        <v>15.0</v>
      </c>
      <c r="B17" s="15">
        <f>EDATE(Setup!B2,A17)</f>
        <v>46735</v>
      </c>
      <c r="C17" s="2" t="str">
        <f>IF(A17=0,"T0",IF(A17&lt;=Drivers!B19,"Preconstruction",IF(A17&lt;=(Drivers!B19+Drivers!B20),"Construction","Trading")))</f>
        <v>Preconstruction</v>
      </c>
      <c r="D17" s="12">
        <f t="array" ref="D17">IF(AND(A17&gt;Drivers!B19,A17&lt;=(Drivers!B19+Drivers!B20)),SIN(PI()*(A17-Drivers!B19-0.5)/Drivers!B20)/SUMPRODUCT(SIN(PI()*(SEQUENCE(Drivers!B20,1)-0.5)/Drivers!B20)),0)</f>
        <v>0</v>
      </c>
      <c r="E17" s="14">
        <f>(Summary!B10+Summary!B12)*D17*(1+Drivers!B21)^(A17/12)</f>
        <v>0</v>
      </c>
      <c r="F17" s="14">
        <f>IF(AND(A17&gt;0,A17&lt;=Drivers!B19),Summary!B11*Drivers!B40/Drivers!B19*(1+Drivers!B21)^(A17/12),Summary!B11*(1-Drivers!B40 )*D17*(1+Drivers!B21)^(A17/12))</f>
        <v>143048.7188</v>
      </c>
      <c r="G17" s="14">
        <f>IF(AND(A17&gt;0,A17&lt;=2),Drivers!B16/2,0)</f>
        <v>0</v>
      </c>
      <c r="H17" s="14">
        <f>IF(A17=(Drivers!B19+Drivers!B20),Drivers!B17*(1+Drivers!B21)^(A17/12),0)</f>
        <v>0</v>
      </c>
      <c r="I17" s="14">
        <f>IF(AND(A17&gt;0,A17&lt;=(Drivers!B19+Drivers!B20)),Drivers!B18*(1+Drivers!B23)^(A17/12),0)</f>
        <v>52512.37714</v>
      </c>
      <c r="J17" s="14">
        <f t="shared" si="1"/>
        <v>195561.096</v>
      </c>
      <c r="K17" s="12">
        <f>IF(A17&gt;(Drivers!B19+Drivers!B20),MIN(1,0.5+0.5*(A17-(Drivers!B19+Drivers!B20))/Drivers!B39),0)</f>
        <v>0</v>
      </c>
      <c r="L17" s="14">
        <f>Drivers!B2*(B17-B16)*Drivers!B24*(1+Drivers!B22)^(A17/12)*Drivers!B25*K17</f>
        <v>0</v>
      </c>
      <c r="M17" s="14">
        <f>L17*Drivers!B26</f>
        <v>0</v>
      </c>
      <c r="N17" s="14">
        <f>(L17+M17)*Drivers!B27</f>
        <v>0</v>
      </c>
      <c r="O17" s="14">
        <f>IF(A17&gt;(Drivers!B19+Drivers!B20),Drivers!B28/12*(1+Drivers!B23)^(A17/12),0)</f>
        <v>0</v>
      </c>
      <c r="P17" s="14">
        <f>(L17+M17)*Drivers!B29</f>
        <v>0</v>
      </c>
      <c r="Q17" s="14">
        <f>Drivers!B3*Drivers!B30*(1+Drivers!B22)^(A17/12)*Drivers!B31*(1-Drivers!B32 )*K17</f>
        <v>0</v>
      </c>
      <c r="R17" s="14">
        <f>IF(A17&gt;(Drivers!B19+Drivers!B20),Drivers!B33/12*(1+Drivers!B23)^(A17/12),0)</f>
        <v>0</v>
      </c>
      <c r="S17" s="14">
        <f t="shared" si="2"/>
        <v>0</v>
      </c>
      <c r="T17" s="14">
        <f t="shared" si="6"/>
        <v>0</v>
      </c>
      <c r="U17" s="14">
        <f>IF(AND(A17&gt;Drivers!B19,A17&lt;=(Drivers!B19+Drivers!B20)),Summary!B31*D17,0)</f>
        <v>0</v>
      </c>
      <c r="V17" s="14">
        <f>IF(A17&lt;=(Drivers!B19+Drivers!B20),(T17+U17/2)*Drivers!B36/12,T17*Drivers!B36/12)</f>
        <v>0</v>
      </c>
      <c r="W17" s="14">
        <f>IF(A17&gt;(Drivers!B19+Drivers!B20),MIN(T17,MAX(0,Summary!B32/12-V17)),0)</f>
        <v>0</v>
      </c>
      <c r="X17" s="14">
        <f>IF(A17=(Drivers!B19+1),Summary!B31*Drivers!B38,0)</f>
        <v>0</v>
      </c>
      <c r="Y17" s="14">
        <f t="shared" si="3"/>
        <v>0</v>
      </c>
      <c r="Z17" s="14">
        <f t="shared" si="4"/>
        <v>-195561.096</v>
      </c>
      <c r="AA17" s="14">
        <f t="shared" si="7"/>
        <v>-4344424.754</v>
      </c>
      <c r="AB17" s="14">
        <f t="shared" si="5"/>
        <v>-195561.096</v>
      </c>
      <c r="AC17" s="14">
        <f>(E17+F17+G17+H17)*Drivers!B45</f>
        <v>21457.30782</v>
      </c>
      <c r="AD17" s="14">
        <f>IF(A17&lt;=Summary!B18,AB17+IF(A17=Summary!B18,Summary!B40,0),0)</f>
        <v>-195561.096</v>
      </c>
      <c r="AE17" s="14">
        <f>IF(A17&lt;=Summary!B18,Z17+IF(A17=Summary!B18,Summary!B40-Y17,0),0)</f>
        <v>-195561.096</v>
      </c>
      <c r="AF17" s="14">
        <f>AD17-IF(A17=0,Drivers!B44,0)</f>
        <v>-195561.096</v>
      </c>
      <c r="AG17" s="14">
        <f t="shared" si="8"/>
        <v>-4344424.754</v>
      </c>
    </row>
    <row r="18">
      <c r="A18" s="2">
        <v>16.0</v>
      </c>
      <c r="B18" s="15">
        <f>EDATE(Setup!B2,A18)</f>
        <v>46766</v>
      </c>
      <c r="C18" s="2" t="str">
        <f>IF(A18=0,"T0",IF(A18&lt;=Drivers!B19,"Preconstruction",IF(A18&lt;=(Drivers!B19+Drivers!B20),"Construction","Trading")))</f>
        <v>Preconstruction</v>
      </c>
      <c r="D18" s="12">
        <f t="array" ref="D18">IF(AND(A18&gt;Drivers!B19,A18&lt;=(Drivers!B19+Drivers!B20)),SIN(PI()*(A18-Drivers!B19-0.5)/Drivers!B20)/SUMPRODUCT(SIN(PI()*(SEQUENCE(Drivers!B20,1)-0.5)/Drivers!B20)),0)</f>
        <v>0</v>
      </c>
      <c r="E18" s="14">
        <f>(Summary!B10+Summary!B12)*D18*(1+Drivers!B21)^(A18/12)</f>
        <v>0</v>
      </c>
      <c r="F18" s="14">
        <f>IF(AND(A18&gt;0,A18&lt;=Drivers!B19),Summary!B11*Drivers!B40/Drivers!B19*(1+Drivers!B21)^(A18/12),Summary!B11*(1-Drivers!B40 )*D18*(1+Drivers!B21)^(A18/12))</f>
        <v>143745.0157</v>
      </c>
      <c r="G18" s="14">
        <f>IF(AND(A18&gt;0,A18&lt;=2),Drivers!B16/2,0)</f>
        <v>0</v>
      </c>
      <c r="H18" s="14">
        <f>IF(A18=(Drivers!B19+Drivers!B20),Drivers!B17*(1+Drivers!B21)^(A18/12),0)</f>
        <v>0</v>
      </c>
      <c r="I18" s="14">
        <f>IF(AND(A18&gt;0,A18&lt;=(Drivers!B19+Drivers!B20)),Drivers!B18*(1+Drivers!B23)^(A18/12),0)</f>
        <v>52684.289</v>
      </c>
      <c r="J18" s="14">
        <f t="shared" si="1"/>
        <v>196429.3047</v>
      </c>
      <c r="K18" s="12">
        <f>IF(A18&gt;(Drivers!B19+Drivers!B20),MIN(1,0.5+0.5*(A18-(Drivers!B19+Drivers!B20))/Drivers!B39),0)</f>
        <v>0</v>
      </c>
      <c r="L18" s="14">
        <f>Drivers!B2*(B18-B17)*Drivers!B24*(1+Drivers!B22)^(A18/12)*Drivers!B25*K18</f>
        <v>0</v>
      </c>
      <c r="M18" s="14">
        <f>L18*Drivers!B26</f>
        <v>0</v>
      </c>
      <c r="N18" s="14">
        <f>(L18+M18)*Drivers!B27</f>
        <v>0</v>
      </c>
      <c r="O18" s="14">
        <f>IF(A18&gt;(Drivers!B19+Drivers!B20),Drivers!B28/12*(1+Drivers!B23)^(A18/12),0)</f>
        <v>0</v>
      </c>
      <c r="P18" s="14">
        <f>(L18+M18)*Drivers!B29</f>
        <v>0</v>
      </c>
      <c r="Q18" s="14">
        <f>Drivers!B3*Drivers!B30*(1+Drivers!B22)^(A18/12)*Drivers!B31*(1-Drivers!B32 )*K18</f>
        <v>0</v>
      </c>
      <c r="R18" s="14">
        <f>IF(A18&gt;(Drivers!B19+Drivers!B20),Drivers!B33/12*(1+Drivers!B23)^(A18/12),0)</f>
        <v>0</v>
      </c>
      <c r="S18" s="14">
        <f t="shared" si="2"/>
        <v>0</v>
      </c>
      <c r="T18" s="14">
        <f t="shared" si="6"/>
        <v>0</v>
      </c>
      <c r="U18" s="14">
        <f>IF(AND(A18&gt;Drivers!B19,A18&lt;=(Drivers!B19+Drivers!B20)),Summary!B31*D18,0)</f>
        <v>0</v>
      </c>
      <c r="V18" s="14">
        <f>IF(A18&lt;=(Drivers!B19+Drivers!B20),(T18+U18/2)*Drivers!B36/12,T18*Drivers!B36/12)</f>
        <v>0</v>
      </c>
      <c r="W18" s="14">
        <f>IF(A18&gt;(Drivers!B19+Drivers!B20),MIN(T18,MAX(0,Summary!B32/12-V18)),0)</f>
        <v>0</v>
      </c>
      <c r="X18" s="14">
        <f>IF(A18=(Drivers!B19+1),Summary!B31*Drivers!B38,0)</f>
        <v>0</v>
      </c>
      <c r="Y18" s="14">
        <f t="shared" si="3"/>
        <v>0</v>
      </c>
      <c r="Z18" s="14">
        <f t="shared" si="4"/>
        <v>-196429.3047</v>
      </c>
      <c r="AA18" s="14">
        <f t="shared" si="7"/>
        <v>-4540854.058</v>
      </c>
      <c r="AB18" s="14">
        <f t="shared" si="5"/>
        <v>-196429.3047</v>
      </c>
      <c r="AC18" s="14">
        <f>(E18+F18+G18+H18)*Drivers!B45</f>
        <v>21561.75236</v>
      </c>
      <c r="AD18" s="14">
        <f>IF(A18&lt;=Summary!B18,AB18+IF(A18=Summary!B18,Summary!B40,0),0)</f>
        <v>-196429.3047</v>
      </c>
      <c r="AE18" s="14">
        <f>IF(A18&lt;=Summary!B18,Z18+IF(A18=Summary!B18,Summary!B40-Y18,0),0)</f>
        <v>-196429.3047</v>
      </c>
      <c r="AF18" s="14">
        <f>AD18-IF(A18=0,Drivers!B44,0)</f>
        <v>-196429.3047</v>
      </c>
      <c r="AG18" s="14">
        <f t="shared" si="8"/>
        <v>-4540854.058</v>
      </c>
    </row>
    <row r="19">
      <c r="A19" s="2">
        <v>17.0</v>
      </c>
      <c r="B19" s="15">
        <f>EDATE(Setup!B2,A19)</f>
        <v>46797</v>
      </c>
      <c r="C19" s="2" t="str">
        <f>IF(A19=0,"T0",IF(A19&lt;=Drivers!B19,"Preconstruction",IF(A19&lt;=(Drivers!B19+Drivers!B20),"Construction","Trading")))</f>
        <v>Preconstruction</v>
      </c>
      <c r="D19" s="12">
        <f t="array" ref="D19">IF(AND(A19&gt;Drivers!B19,A19&lt;=(Drivers!B19+Drivers!B20)),SIN(PI()*(A19-Drivers!B19-0.5)/Drivers!B20)/SUMPRODUCT(SIN(PI()*(SEQUENCE(Drivers!B20,1)-0.5)/Drivers!B20)),0)</f>
        <v>0</v>
      </c>
      <c r="E19" s="14">
        <f>(Summary!B10+Summary!B12)*D19*(1+Drivers!B21)^(A19/12)</f>
        <v>0</v>
      </c>
      <c r="F19" s="14">
        <f>IF(AND(A19&gt;0,A19&lt;=Drivers!B19),Summary!B11*Drivers!B40/Drivers!B19*(1+Drivers!B21)^(A19/12),Summary!B11*(1-Drivers!B40 )*D19*(1+Drivers!B21)^(A19/12))</f>
        <v>144444.7018</v>
      </c>
      <c r="G19" s="14">
        <f>IF(AND(A19&gt;0,A19&lt;=2),Drivers!B16/2,0)</f>
        <v>0</v>
      </c>
      <c r="H19" s="14">
        <f>IF(A19=(Drivers!B19+Drivers!B20),Drivers!B17*(1+Drivers!B21)^(A19/12),0)</f>
        <v>0</v>
      </c>
      <c r="I19" s="14">
        <f>IF(AND(A19&gt;0,A19&lt;=(Drivers!B19+Drivers!B20)),Drivers!B18*(1+Drivers!B23)^(A19/12),0)</f>
        <v>52856.76365</v>
      </c>
      <c r="J19" s="14">
        <f t="shared" si="1"/>
        <v>197301.4655</v>
      </c>
      <c r="K19" s="12">
        <f>IF(A19&gt;(Drivers!B19+Drivers!B20),MIN(1,0.5+0.5*(A19-(Drivers!B19+Drivers!B20))/Drivers!B39),0)</f>
        <v>0</v>
      </c>
      <c r="L19" s="14">
        <f>Drivers!B2*(B19-B18)*Drivers!B24*(1+Drivers!B22)^(A19/12)*Drivers!B25*K19</f>
        <v>0</v>
      </c>
      <c r="M19" s="14">
        <f>L19*Drivers!B26</f>
        <v>0</v>
      </c>
      <c r="N19" s="14">
        <f>(L19+M19)*Drivers!B27</f>
        <v>0</v>
      </c>
      <c r="O19" s="14">
        <f>IF(A19&gt;(Drivers!B19+Drivers!B20),Drivers!B28/12*(1+Drivers!B23)^(A19/12),0)</f>
        <v>0</v>
      </c>
      <c r="P19" s="14">
        <f>(L19+M19)*Drivers!B29</f>
        <v>0</v>
      </c>
      <c r="Q19" s="14">
        <f>Drivers!B3*Drivers!B30*(1+Drivers!B22)^(A19/12)*Drivers!B31*(1-Drivers!B32 )*K19</f>
        <v>0</v>
      </c>
      <c r="R19" s="14">
        <f>IF(A19&gt;(Drivers!B19+Drivers!B20),Drivers!B33/12*(1+Drivers!B23)^(A19/12),0)</f>
        <v>0</v>
      </c>
      <c r="S19" s="14">
        <f t="shared" si="2"/>
        <v>0</v>
      </c>
      <c r="T19" s="14">
        <f t="shared" si="6"/>
        <v>0</v>
      </c>
      <c r="U19" s="14">
        <f>IF(AND(A19&gt;Drivers!B19,A19&lt;=(Drivers!B19+Drivers!B20)),Summary!B31*D19,0)</f>
        <v>0</v>
      </c>
      <c r="V19" s="14">
        <f>IF(A19&lt;=(Drivers!B19+Drivers!B20),(T19+U19/2)*Drivers!B36/12,T19*Drivers!B36/12)</f>
        <v>0</v>
      </c>
      <c r="W19" s="14">
        <f>IF(A19&gt;(Drivers!B19+Drivers!B20),MIN(T19,MAX(0,Summary!B32/12-V19)),0)</f>
        <v>0</v>
      </c>
      <c r="X19" s="14">
        <f>IF(A19=(Drivers!B19+1),Summary!B31*Drivers!B38,0)</f>
        <v>0</v>
      </c>
      <c r="Y19" s="14">
        <f t="shared" si="3"/>
        <v>0</v>
      </c>
      <c r="Z19" s="14">
        <f t="shared" si="4"/>
        <v>-197301.4655</v>
      </c>
      <c r="AA19" s="14">
        <f t="shared" si="7"/>
        <v>-4738155.524</v>
      </c>
      <c r="AB19" s="14">
        <f t="shared" si="5"/>
        <v>-197301.4655</v>
      </c>
      <c r="AC19" s="14">
        <f>(E19+F19+G19+H19)*Drivers!B45</f>
        <v>21666.70528</v>
      </c>
      <c r="AD19" s="14">
        <f>IF(A19&lt;=Summary!B18,AB19+IF(A19=Summary!B18,Summary!B40,0),0)</f>
        <v>-197301.4655</v>
      </c>
      <c r="AE19" s="14">
        <f>IF(A19&lt;=Summary!B18,Z19+IF(A19=Summary!B18,Summary!B40-Y19,0),0)</f>
        <v>-197301.4655</v>
      </c>
      <c r="AF19" s="14">
        <f>AD19-IF(A19=0,Drivers!B44,0)</f>
        <v>-197301.4655</v>
      </c>
      <c r="AG19" s="14">
        <f t="shared" si="8"/>
        <v>-4738155.524</v>
      </c>
    </row>
    <row r="20">
      <c r="A20" s="2">
        <v>18.0</v>
      </c>
      <c r="B20" s="15">
        <f>EDATE(Setup!B2,A20)</f>
        <v>46826</v>
      </c>
      <c r="C20" s="2" t="str">
        <f>IF(A20=0,"T0",IF(A20&lt;=Drivers!B19,"Preconstruction",IF(A20&lt;=(Drivers!B19+Drivers!B20),"Construction","Trading")))</f>
        <v>Preconstruction</v>
      </c>
      <c r="D20" s="12">
        <f t="array" ref="D20">IF(AND(A20&gt;Drivers!B19,A20&lt;=(Drivers!B19+Drivers!B20)),SIN(PI()*(A20-Drivers!B19-0.5)/Drivers!B20)/SUMPRODUCT(SIN(PI()*(SEQUENCE(Drivers!B20,1)-0.5)/Drivers!B20)),0)</f>
        <v>0</v>
      </c>
      <c r="E20" s="14">
        <f>(Summary!B10+Summary!B12)*D20*(1+Drivers!B21)^(A20/12)</f>
        <v>0</v>
      </c>
      <c r="F20" s="14">
        <f>IF(AND(A20&gt;0,A20&lt;=Drivers!B19),Summary!B11*Drivers!B40/Drivers!B19*(1+Drivers!B21)^(A20/12),Summary!B11*(1-Drivers!B40 )*D20*(1+Drivers!B21)^(A20/12))</f>
        <v>145147.7937</v>
      </c>
      <c r="G20" s="14">
        <f>IF(AND(A20&gt;0,A20&lt;=2),Drivers!B16/2,0)</f>
        <v>0</v>
      </c>
      <c r="H20" s="14">
        <f>IF(A20=(Drivers!B19+Drivers!B20),Drivers!B17*(1+Drivers!B21)^(A20/12),0)</f>
        <v>0</v>
      </c>
      <c r="I20" s="14">
        <f>IF(AND(A20&gt;0,A20&lt;=(Drivers!B19+Drivers!B20)),Drivers!B18*(1+Drivers!B23)^(A20/12),0)</f>
        <v>53029.80294</v>
      </c>
      <c r="J20" s="14">
        <f t="shared" si="1"/>
        <v>198177.5967</v>
      </c>
      <c r="K20" s="12">
        <f>IF(A20&gt;(Drivers!B19+Drivers!B20),MIN(1,0.5+0.5*(A20-(Drivers!B19+Drivers!B20))/Drivers!B39),0)</f>
        <v>0</v>
      </c>
      <c r="L20" s="14">
        <f>Drivers!B2*(B20-B19)*Drivers!B24*(1+Drivers!B22)^(A20/12)*Drivers!B25*K20</f>
        <v>0</v>
      </c>
      <c r="M20" s="14">
        <f>L20*Drivers!B26</f>
        <v>0</v>
      </c>
      <c r="N20" s="14">
        <f>(L20+M20)*Drivers!B27</f>
        <v>0</v>
      </c>
      <c r="O20" s="14">
        <f>IF(A20&gt;(Drivers!B19+Drivers!B20),Drivers!B28/12*(1+Drivers!B23)^(A20/12),0)</f>
        <v>0</v>
      </c>
      <c r="P20" s="14">
        <f>(L20+M20)*Drivers!B29</f>
        <v>0</v>
      </c>
      <c r="Q20" s="14">
        <f>Drivers!B3*Drivers!B30*(1+Drivers!B22)^(A20/12)*Drivers!B31*(1-Drivers!B32 )*K20</f>
        <v>0</v>
      </c>
      <c r="R20" s="14">
        <f>IF(A20&gt;(Drivers!B19+Drivers!B20),Drivers!B33/12*(1+Drivers!B23)^(A20/12),0)</f>
        <v>0</v>
      </c>
      <c r="S20" s="14">
        <f t="shared" si="2"/>
        <v>0</v>
      </c>
      <c r="T20" s="14">
        <f t="shared" si="6"/>
        <v>0</v>
      </c>
      <c r="U20" s="14">
        <f>IF(AND(A20&gt;Drivers!B19,A20&lt;=(Drivers!B19+Drivers!B20)),Summary!B31*D20,0)</f>
        <v>0</v>
      </c>
      <c r="V20" s="14">
        <f>IF(A20&lt;=(Drivers!B19+Drivers!B20),(T20+U20/2)*Drivers!B36/12,T20*Drivers!B36/12)</f>
        <v>0</v>
      </c>
      <c r="W20" s="14">
        <f>IF(A20&gt;(Drivers!B19+Drivers!B20),MIN(T20,MAX(0,Summary!B32/12-V20)),0)</f>
        <v>0</v>
      </c>
      <c r="X20" s="14">
        <f>IF(A20=(Drivers!B19+1),Summary!B31*Drivers!B38,0)</f>
        <v>0</v>
      </c>
      <c r="Y20" s="14">
        <f t="shared" si="3"/>
        <v>0</v>
      </c>
      <c r="Z20" s="14">
        <f t="shared" si="4"/>
        <v>-198177.5967</v>
      </c>
      <c r="AA20" s="14">
        <f t="shared" si="7"/>
        <v>-4936333.12</v>
      </c>
      <c r="AB20" s="14">
        <f t="shared" si="5"/>
        <v>-198177.5967</v>
      </c>
      <c r="AC20" s="14">
        <f>(E20+F20+G20+H20)*Drivers!B45</f>
        <v>21772.16906</v>
      </c>
      <c r="AD20" s="14">
        <f>IF(A20&lt;=Summary!B18,AB20+IF(A20=Summary!B18,Summary!B40,0),0)</f>
        <v>-198177.5967</v>
      </c>
      <c r="AE20" s="14">
        <f>IF(A20&lt;=Summary!B18,Z20+IF(A20=Summary!B18,Summary!B40-Y20,0),0)</f>
        <v>-198177.5967</v>
      </c>
      <c r="AF20" s="14">
        <f>AD20-IF(A20=0,Drivers!B44,0)</f>
        <v>-198177.5967</v>
      </c>
      <c r="AG20" s="14">
        <f t="shared" si="8"/>
        <v>-4936333.12</v>
      </c>
    </row>
    <row r="21">
      <c r="A21" s="2">
        <v>19.0</v>
      </c>
      <c r="B21" s="15">
        <f>EDATE(Setup!B2,A21)</f>
        <v>46857</v>
      </c>
      <c r="C21" s="2" t="str">
        <f>IF(A21=0,"T0",IF(A21&lt;=Drivers!B19,"Preconstruction",IF(A21&lt;=(Drivers!B19+Drivers!B20),"Construction","Trading")))</f>
        <v>Preconstruction</v>
      </c>
      <c r="D21" s="12">
        <f t="array" ref="D21">IF(AND(A21&gt;Drivers!B19,A21&lt;=(Drivers!B19+Drivers!B20)),SIN(PI()*(A21-Drivers!B19-0.5)/Drivers!B20)/SUMPRODUCT(SIN(PI()*(SEQUENCE(Drivers!B20,1)-0.5)/Drivers!B20)),0)</f>
        <v>0</v>
      </c>
      <c r="E21" s="14">
        <f>(Summary!B10+Summary!B12)*D21*(1+Drivers!B21)^(A21/12)</f>
        <v>0</v>
      </c>
      <c r="F21" s="14">
        <f>IF(AND(A21&gt;0,A21&lt;=Drivers!B19),Summary!B11*Drivers!B40/Drivers!B19*(1+Drivers!B21)^(A21/12),Summary!B11*(1-Drivers!B40 )*D21*(1+Drivers!B21)^(A21/12))</f>
        <v>145854.308</v>
      </c>
      <c r="G21" s="14">
        <f>IF(AND(A21&gt;0,A21&lt;=2),Drivers!B16/2,0)</f>
        <v>0</v>
      </c>
      <c r="H21" s="14">
        <f>IF(A21=(Drivers!B19+Drivers!B20),Drivers!B17*(1+Drivers!B21)^(A21/12),0)</f>
        <v>0</v>
      </c>
      <c r="I21" s="14">
        <f>IF(AND(A21&gt;0,A21&lt;=(Drivers!B19+Drivers!B20)),Drivers!B18*(1+Drivers!B23)^(A21/12),0)</f>
        <v>53203.40872</v>
      </c>
      <c r="J21" s="14">
        <f t="shared" si="1"/>
        <v>199057.7167</v>
      </c>
      <c r="K21" s="12">
        <f>IF(A21&gt;(Drivers!B19+Drivers!B20),MIN(1,0.5+0.5*(A21-(Drivers!B19+Drivers!B20))/Drivers!B39),0)</f>
        <v>0</v>
      </c>
      <c r="L21" s="14">
        <f>Drivers!B2*(B21-B20)*Drivers!B24*(1+Drivers!B22)^(A21/12)*Drivers!B25*K21</f>
        <v>0</v>
      </c>
      <c r="M21" s="14">
        <f>L21*Drivers!B26</f>
        <v>0</v>
      </c>
      <c r="N21" s="14">
        <f>(L21+M21)*Drivers!B27</f>
        <v>0</v>
      </c>
      <c r="O21" s="14">
        <f>IF(A21&gt;(Drivers!B19+Drivers!B20),Drivers!B28/12*(1+Drivers!B23)^(A21/12),0)</f>
        <v>0</v>
      </c>
      <c r="P21" s="14">
        <f>(L21+M21)*Drivers!B29</f>
        <v>0</v>
      </c>
      <c r="Q21" s="14">
        <f>Drivers!B3*Drivers!B30*(1+Drivers!B22)^(A21/12)*Drivers!B31*(1-Drivers!B32 )*K21</f>
        <v>0</v>
      </c>
      <c r="R21" s="14">
        <f>IF(A21&gt;(Drivers!B19+Drivers!B20),Drivers!B33/12*(1+Drivers!B23)^(A21/12),0)</f>
        <v>0</v>
      </c>
      <c r="S21" s="14">
        <f t="shared" si="2"/>
        <v>0</v>
      </c>
      <c r="T21" s="14">
        <f t="shared" si="6"/>
        <v>0</v>
      </c>
      <c r="U21" s="14">
        <f>IF(AND(A21&gt;Drivers!B19,A21&lt;=(Drivers!B19+Drivers!B20)),Summary!B31*D21,0)</f>
        <v>0</v>
      </c>
      <c r="V21" s="14">
        <f>IF(A21&lt;=(Drivers!B19+Drivers!B20),(T21+U21/2)*Drivers!B36/12,T21*Drivers!B36/12)</f>
        <v>0</v>
      </c>
      <c r="W21" s="14">
        <f>IF(A21&gt;(Drivers!B19+Drivers!B20),MIN(T21,MAX(0,Summary!B32/12-V21)),0)</f>
        <v>0</v>
      </c>
      <c r="X21" s="14">
        <f>IF(A21=(Drivers!B19+1),Summary!B31*Drivers!B38,0)</f>
        <v>0</v>
      </c>
      <c r="Y21" s="14">
        <f t="shared" si="3"/>
        <v>0</v>
      </c>
      <c r="Z21" s="14">
        <f t="shared" si="4"/>
        <v>-199057.7167</v>
      </c>
      <c r="AA21" s="14">
        <f t="shared" si="7"/>
        <v>-5135390.837</v>
      </c>
      <c r="AB21" s="14">
        <f t="shared" si="5"/>
        <v>-199057.7167</v>
      </c>
      <c r="AC21" s="14">
        <f>(E21+F21+G21+H21)*Drivers!B45</f>
        <v>21878.14619</v>
      </c>
      <c r="AD21" s="14">
        <f>IF(A21&lt;=Summary!B18,AB21+IF(A21=Summary!B18,Summary!B40,0),0)</f>
        <v>-199057.7167</v>
      </c>
      <c r="AE21" s="14">
        <f>IF(A21&lt;=Summary!B18,Z21+IF(A21=Summary!B18,Summary!B40-Y21,0),0)</f>
        <v>-199057.7167</v>
      </c>
      <c r="AF21" s="14">
        <f>AD21-IF(A21=0,Drivers!B44,0)</f>
        <v>-199057.7167</v>
      </c>
      <c r="AG21" s="14">
        <f t="shared" si="8"/>
        <v>-5135390.837</v>
      </c>
    </row>
    <row r="22">
      <c r="A22" s="2">
        <v>20.0</v>
      </c>
      <c r="B22" s="15">
        <f>EDATE(Setup!B2,A22)</f>
        <v>46887</v>
      </c>
      <c r="C22" s="2" t="str">
        <f>IF(A22=0,"T0",IF(A22&lt;=Drivers!B19,"Preconstruction",IF(A22&lt;=(Drivers!B19+Drivers!B20),"Construction","Trading")))</f>
        <v>Preconstruction</v>
      </c>
      <c r="D22" s="12">
        <f t="array" ref="D22">IF(AND(A22&gt;Drivers!B19,A22&lt;=(Drivers!B19+Drivers!B20)),SIN(PI()*(A22-Drivers!B19-0.5)/Drivers!B20)/SUMPRODUCT(SIN(PI()*(SEQUENCE(Drivers!B20,1)-0.5)/Drivers!B20)),0)</f>
        <v>0</v>
      </c>
      <c r="E22" s="14">
        <f>(Summary!B10+Summary!B12)*D22*(1+Drivers!B21)^(A22/12)</f>
        <v>0</v>
      </c>
      <c r="F22" s="14">
        <f>IF(AND(A22&gt;0,A22&lt;=Drivers!B19),Summary!B11*Drivers!B40/Drivers!B19*(1+Drivers!B21)^(A22/12),Summary!B11*(1-Drivers!B40 )*D22*(1+Drivers!B21)^(A22/12))</f>
        <v>146564.2612</v>
      </c>
      <c r="G22" s="14">
        <f>IF(AND(A22&gt;0,A22&lt;=2),Drivers!B16/2,0)</f>
        <v>0</v>
      </c>
      <c r="H22" s="14">
        <f>IF(A22=(Drivers!B19+Drivers!B20),Drivers!B17*(1+Drivers!B21)^(A22/12),0)</f>
        <v>0</v>
      </c>
      <c r="I22" s="14">
        <f>IF(AND(A22&gt;0,A22&lt;=(Drivers!B19+Drivers!B20)),Drivers!B18*(1+Drivers!B23)^(A22/12),0)</f>
        <v>53377.58283</v>
      </c>
      <c r="J22" s="14">
        <f t="shared" si="1"/>
        <v>199941.844</v>
      </c>
      <c r="K22" s="12">
        <f>IF(A22&gt;(Drivers!B19+Drivers!B20),MIN(1,0.5+0.5*(A22-(Drivers!B19+Drivers!B20))/Drivers!B39),0)</f>
        <v>0</v>
      </c>
      <c r="L22" s="14">
        <f>Drivers!B2*(B22-B21)*Drivers!B24*(1+Drivers!B22)^(A22/12)*Drivers!B25*K22</f>
        <v>0</v>
      </c>
      <c r="M22" s="14">
        <f>L22*Drivers!B26</f>
        <v>0</v>
      </c>
      <c r="N22" s="14">
        <f>(L22+M22)*Drivers!B27</f>
        <v>0</v>
      </c>
      <c r="O22" s="14">
        <f>IF(A22&gt;(Drivers!B19+Drivers!B20),Drivers!B28/12*(1+Drivers!B23)^(A22/12),0)</f>
        <v>0</v>
      </c>
      <c r="P22" s="14">
        <f>(L22+M22)*Drivers!B29</f>
        <v>0</v>
      </c>
      <c r="Q22" s="14">
        <f>Drivers!B3*Drivers!B30*(1+Drivers!B22)^(A22/12)*Drivers!B31*(1-Drivers!B32 )*K22</f>
        <v>0</v>
      </c>
      <c r="R22" s="14">
        <f>IF(A22&gt;(Drivers!B19+Drivers!B20),Drivers!B33/12*(1+Drivers!B23)^(A22/12),0)</f>
        <v>0</v>
      </c>
      <c r="S22" s="14">
        <f t="shared" si="2"/>
        <v>0</v>
      </c>
      <c r="T22" s="14">
        <f t="shared" si="6"/>
        <v>0</v>
      </c>
      <c r="U22" s="14">
        <f>IF(AND(A22&gt;Drivers!B19,A22&lt;=(Drivers!B19+Drivers!B20)),Summary!B31*D22,0)</f>
        <v>0</v>
      </c>
      <c r="V22" s="14">
        <f>IF(A22&lt;=(Drivers!B19+Drivers!B20),(T22+U22/2)*Drivers!B36/12,T22*Drivers!B36/12)</f>
        <v>0</v>
      </c>
      <c r="W22" s="14">
        <f>IF(A22&gt;(Drivers!B19+Drivers!B20),MIN(T22,MAX(0,Summary!B32/12-V22)),0)</f>
        <v>0</v>
      </c>
      <c r="X22" s="14">
        <f>IF(A22=(Drivers!B19+1),Summary!B31*Drivers!B38,0)</f>
        <v>0</v>
      </c>
      <c r="Y22" s="14">
        <f t="shared" si="3"/>
        <v>0</v>
      </c>
      <c r="Z22" s="14">
        <f t="shared" si="4"/>
        <v>-199941.844</v>
      </c>
      <c r="AA22" s="14">
        <f t="shared" si="7"/>
        <v>-5335332.681</v>
      </c>
      <c r="AB22" s="14">
        <f t="shared" si="5"/>
        <v>-199941.844</v>
      </c>
      <c r="AC22" s="14">
        <f>(E22+F22+G22+H22)*Drivers!B45</f>
        <v>21984.63918</v>
      </c>
      <c r="AD22" s="14">
        <f>IF(A22&lt;=Summary!B18,AB22+IF(A22=Summary!B18,Summary!B40,0),0)</f>
        <v>-199941.844</v>
      </c>
      <c r="AE22" s="14">
        <f>IF(A22&lt;=Summary!B18,Z22+IF(A22=Summary!B18,Summary!B40-Y22,0),0)</f>
        <v>-199941.844</v>
      </c>
      <c r="AF22" s="14">
        <f>AD22-IF(A22=0,Drivers!B44,0)</f>
        <v>-199941.844</v>
      </c>
      <c r="AG22" s="14">
        <f t="shared" si="8"/>
        <v>-5335332.681</v>
      </c>
    </row>
    <row r="23">
      <c r="A23" s="2">
        <v>21.0</v>
      </c>
      <c r="B23" s="15">
        <f>EDATE(Setup!B2,A23)</f>
        <v>46918</v>
      </c>
      <c r="C23" s="2" t="str">
        <f>IF(A23=0,"T0",IF(A23&lt;=Drivers!B19,"Preconstruction",IF(A23&lt;=(Drivers!B19+Drivers!B20),"Construction","Trading")))</f>
        <v>Preconstruction</v>
      </c>
      <c r="D23" s="12">
        <f t="array" ref="D23">IF(AND(A23&gt;Drivers!B19,A23&lt;=(Drivers!B19+Drivers!B20)),SIN(PI()*(A23-Drivers!B19-0.5)/Drivers!B20)/SUMPRODUCT(SIN(PI()*(SEQUENCE(Drivers!B20,1)-0.5)/Drivers!B20)),0)</f>
        <v>0</v>
      </c>
      <c r="E23" s="14">
        <f>(Summary!B10+Summary!B12)*D23*(1+Drivers!B21)^(A23/12)</f>
        <v>0</v>
      </c>
      <c r="F23" s="14">
        <f>IF(AND(A23&gt;0,A23&lt;=Drivers!B19),Summary!B11*Drivers!B40/Drivers!B19*(1+Drivers!B21)^(A23/12),Summary!B11*(1-Drivers!B40 )*D23*(1+Drivers!B21)^(A23/12))</f>
        <v>147277.6701</v>
      </c>
      <c r="G23" s="14">
        <f>IF(AND(A23&gt;0,A23&lt;=2),Drivers!B16/2,0)</f>
        <v>0</v>
      </c>
      <c r="H23" s="14">
        <f>IF(A23=(Drivers!B19+Drivers!B20),Drivers!B17*(1+Drivers!B21)^(A23/12),0)</f>
        <v>0</v>
      </c>
      <c r="I23" s="14">
        <f>IF(AND(A23&gt;0,A23&lt;=(Drivers!B19+Drivers!B20)),Drivers!B18*(1+Drivers!B23)^(A23/12),0)</f>
        <v>53552.32715</v>
      </c>
      <c r="J23" s="14">
        <f t="shared" si="1"/>
        <v>200829.9973</v>
      </c>
      <c r="K23" s="12">
        <f>IF(A23&gt;(Drivers!B19+Drivers!B20),MIN(1,0.5+0.5*(A23-(Drivers!B19+Drivers!B20))/Drivers!B39),0)</f>
        <v>0</v>
      </c>
      <c r="L23" s="14">
        <f>Drivers!B2*(B23-B22)*Drivers!B24*(1+Drivers!B22)^(A23/12)*Drivers!B25*K23</f>
        <v>0</v>
      </c>
      <c r="M23" s="14">
        <f>L23*Drivers!B26</f>
        <v>0</v>
      </c>
      <c r="N23" s="14">
        <f>(L23+M23)*Drivers!B27</f>
        <v>0</v>
      </c>
      <c r="O23" s="14">
        <f>IF(A23&gt;(Drivers!B19+Drivers!B20),Drivers!B28/12*(1+Drivers!B23)^(A23/12),0)</f>
        <v>0</v>
      </c>
      <c r="P23" s="14">
        <f>(L23+M23)*Drivers!B29</f>
        <v>0</v>
      </c>
      <c r="Q23" s="14">
        <f>Drivers!B3*Drivers!B30*(1+Drivers!B22)^(A23/12)*Drivers!B31*(1-Drivers!B32 )*K23</f>
        <v>0</v>
      </c>
      <c r="R23" s="14">
        <f>IF(A23&gt;(Drivers!B19+Drivers!B20),Drivers!B33/12*(1+Drivers!B23)^(A23/12),0)</f>
        <v>0</v>
      </c>
      <c r="S23" s="14">
        <f t="shared" si="2"/>
        <v>0</v>
      </c>
      <c r="T23" s="14">
        <f t="shared" si="6"/>
        <v>0</v>
      </c>
      <c r="U23" s="14">
        <f>IF(AND(A23&gt;Drivers!B19,A23&lt;=(Drivers!B19+Drivers!B20)),Summary!B31*D23,0)</f>
        <v>0</v>
      </c>
      <c r="V23" s="14">
        <f>IF(A23&lt;=(Drivers!B19+Drivers!B20),(T23+U23/2)*Drivers!B36/12,T23*Drivers!B36/12)</f>
        <v>0</v>
      </c>
      <c r="W23" s="14">
        <f>IF(A23&gt;(Drivers!B19+Drivers!B20),MIN(T23,MAX(0,Summary!B32/12-V23)),0)</f>
        <v>0</v>
      </c>
      <c r="X23" s="14">
        <f>IF(A23=(Drivers!B19+1),Summary!B31*Drivers!B38,0)</f>
        <v>0</v>
      </c>
      <c r="Y23" s="14">
        <f t="shared" si="3"/>
        <v>0</v>
      </c>
      <c r="Z23" s="14">
        <f t="shared" si="4"/>
        <v>-200829.9973</v>
      </c>
      <c r="AA23" s="14">
        <f t="shared" si="7"/>
        <v>-5536162.678</v>
      </c>
      <c r="AB23" s="14">
        <f t="shared" si="5"/>
        <v>-200829.9973</v>
      </c>
      <c r="AC23" s="14">
        <f>(E23+F23+G23+H23)*Drivers!B45</f>
        <v>22091.65052</v>
      </c>
      <c r="AD23" s="14">
        <f>IF(A23&lt;=Summary!B18,AB23+IF(A23=Summary!B18,Summary!B40,0),0)</f>
        <v>-200829.9973</v>
      </c>
      <c r="AE23" s="14">
        <f>IF(A23&lt;=Summary!B18,Z23+IF(A23=Summary!B18,Summary!B40-Y23,0),0)</f>
        <v>-200829.9973</v>
      </c>
      <c r="AF23" s="14">
        <f>AD23-IF(A23=0,Drivers!B44,0)</f>
        <v>-200829.9973</v>
      </c>
      <c r="AG23" s="14">
        <f t="shared" si="8"/>
        <v>-5536162.678</v>
      </c>
    </row>
    <row r="24">
      <c r="A24" s="2">
        <v>22.0</v>
      </c>
      <c r="B24" s="15">
        <f>EDATE(Setup!B2,A24)</f>
        <v>46948</v>
      </c>
      <c r="C24" s="2" t="str">
        <f>IF(A24=0,"T0",IF(A24&lt;=Drivers!B19,"Preconstruction",IF(A24&lt;=(Drivers!B19+Drivers!B20),"Construction","Trading")))</f>
        <v>Preconstruction</v>
      </c>
      <c r="D24" s="12">
        <f t="array" ref="D24">IF(AND(A24&gt;Drivers!B19,A24&lt;=(Drivers!B19+Drivers!B20)),SIN(PI()*(A24-Drivers!B19-0.5)/Drivers!B20)/SUMPRODUCT(SIN(PI()*(SEQUENCE(Drivers!B20,1)-0.5)/Drivers!B20)),0)</f>
        <v>0</v>
      </c>
      <c r="E24" s="14">
        <f>(Summary!B10+Summary!B12)*D24*(1+Drivers!B21)^(A24/12)</f>
        <v>0</v>
      </c>
      <c r="F24" s="14">
        <f>IF(AND(A24&gt;0,A24&lt;=Drivers!B19),Summary!B11*Drivers!B40/Drivers!B19*(1+Drivers!B21)^(A24/12),Summary!B11*(1-Drivers!B40 )*D24*(1+Drivers!B21)^(A24/12))</f>
        <v>147994.5516</v>
      </c>
      <c r="G24" s="14">
        <f>IF(AND(A24&gt;0,A24&lt;=2),Drivers!B16/2,0)</f>
        <v>0</v>
      </c>
      <c r="H24" s="14">
        <f>IF(A24=(Drivers!B19+Drivers!B20),Drivers!B17*(1+Drivers!B21)^(A24/12),0)</f>
        <v>0</v>
      </c>
      <c r="I24" s="14">
        <f>IF(AND(A24&gt;0,A24&lt;=(Drivers!B19+Drivers!B20)),Drivers!B18*(1+Drivers!B23)^(A24/12),0)</f>
        <v>53727.64353</v>
      </c>
      <c r="J24" s="14">
        <f t="shared" si="1"/>
        <v>201722.1952</v>
      </c>
      <c r="K24" s="12">
        <f>IF(A24&gt;(Drivers!B19+Drivers!B20),MIN(1,0.5+0.5*(A24-(Drivers!B19+Drivers!B20))/Drivers!B39),0)</f>
        <v>0</v>
      </c>
      <c r="L24" s="14">
        <f>Drivers!B2*(B24-B23)*Drivers!B24*(1+Drivers!B22)^(A24/12)*Drivers!B25*K24</f>
        <v>0</v>
      </c>
      <c r="M24" s="14">
        <f>L24*Drivers!B26</f>
        <v>0</v>
      </c>
      <c r="N24" s="14">
        <f>(L24+M24)*Drivers!B27</f>
        <v>0</v>
      </c>
      <c r="O24" s="14">
        <f>IF(A24&gt;(Drivers!B19+Drivers!B20),Drivers!B28/12*(1+Drivers!B23)^(A24/12),0)</f>
        <v>0</v>
      </c>
      <c r="P24" s="14">
        <f>(L24+M24)*Drivers!B29</f>
        <v>0</v>
      </c>
      <c r="Q24" s="14">
        <f>Drivers!B3*Drivers!B30*(1+Drivers!B22)^(A24/12)*Drivers!B31*(1-Drivers!B32 )*K24</f>
        <v>0</v>
      </c>
      <c r="R24" s="14">
        <f>IF(A24&gt;(Drivers!B19+Drivers!B20),Drivers!B33/12*(1+Drivers!B23)^(A24/12),0)</f>
        <v>0</v>
      </c>
      <c r="S24" s="14">
        <f t="shared" si="2"/>
        <v>0</v>
      </c>
      <c r="T24" s="14">
        <f t="shared" si="6"/>
        <v>0</v>
      </c>
      <c r="U24" s="14">
        <f>IF(AND(A24&gt;Drivers!B19,A24&lt;=(Drivers!B19+Drivers!B20)),Summary!B31*D24,0)</f>
        <v>0</v>
      </c>
      <c r="V24" s="14">
        <f>IF(A24&lt;=(Drivers!B19+Drivers!B20),(T24+U24/2)*Drivers!B36/12,T24*Drivers!B36/12)</f>
        <v>0</v>
      </c>
      <c r="W24" s="14">
        <f>IF(A24&gt;(Drivers!B19+Drivers!B20),MIN(T24,MAX(0,Summary!B32/12-V24)),0)</f>
        <v>0</v>
      </c>
      <c r="X24" s="14">
        <f>IF(A24=(Drivers!B19+1),Summary!B31*Drivers!B38,0)</f>
        <v>0</v>
      </c>
      <c r="Y24" s="14">
        <f t="shared" si="3"/>
        <v>0</v>
      </c>
      <c r="Z24" s="14">
        <f t="shared" si="4"/>
        <v>-201722.1952</v>
      </c>
      <c r="AA24" s="14">
        <f t="shared" si="7"/>
        <v>-5737884.874</v>
      </c>
      <c r="AB24" s="14">
        <f t="shared" si="5"/>
        <v>-201722.1952</v>
      </c>
      <c r="AC24" s="14">
        <f>(E24+F24+G24+H24)*Drivers!B45</f>
        <v>22199.18274</v>
      </c>
      <c r="AD24" s="14">
        <f>IF(A24&lt;=Summary!B18,AB24+IF(A24=Summary!B18,Summary!B40,0),0)</f>
        <v>-201722.1952</v>
      </c>
      <c r="AE24" s="14">
        <f>IF(A24&lt;=Summary!B18,Z24+IF(A24=Summary!B18,Summary!B40-Y24,0),0)</f>
        <v>-201722.1952</v>
      </c>
      <c r="AF24" s="14">
        <f>AD24-IF(A24=0,Drivers!B44,0)</f>
        <v>-201722.1952</v>
      </c>
      <c r="AG24" s="14">
        <f t="shared" si="8"/>
        <v>-5737884.874</v>
      </c>
    </row>
    <row r="25">
      <c r="A25" s="2">
        <v>23.0</v>
      </c>
      <c r="B25" s="15">
        <f>EDATE(Setup!B2,A25)</f>
        <v>46979</v>
      </c>
      <c r="C25" s="2" t="str">
        <f>IF(A25=0,"T0",IF(A25&lt;=Drivers!B19,"Preconstruction",IF(A25&lt;=(Drivers!B19+Drivers!B20),"Construction","Trading")))</f>
        <v>Preconstruction</v>
      </c>
      <c r="D25" s="12">
        <f t="array" ref="D25">IF(AND(A25&gt;Drivers!B19,A25&lt;=(Drivers!B19+Drivers!B20)),SIN(PI()*(A25-Drivers!B19-0.5)/Drivers!B20)/SUMPRODUCT(SIN(PI()*(SEQUENCE(Drivers!B20,1)-0.5)/Drivers!B20)),0)</f>
        <v>0</v>
      </c>
      <c r="E25" s="14">
        <f>(Summary!B10+Summary!B12)*D25*(1+Drivers!B21)^(A25/12)</f>
        <v>0</v>
      </c>
      <c r="F25" s="14">
        <f>IF(AND(A25&gt;0,A25&lt;=Drivers!B19),Summary!B11*Drivers!B40/Drivers!B19*(1+Drivers!B21)^(A25/12),Summary!B11*(1-Drivers!B40 )*D25*(1+Drivers!B21)^(A25/12))</f>
        <v>148714.9226</v>
      </c>
      <c r="G25" s="14">
        <f>IF(AND(A25&gt;0,A25&lt;=2),Drivers!B16/2,0)</f>
        <v>0</v>
      </c>
      <c r="H25" s="14">
        <f>IF(A25=(Drivers!B19+Drivers!B20),Drivers!B17*(1+Drivers!B21)^(A25/12),0)</f>
        <v>0</v>
      </c>
      <c r="I25" s="14">
        <f>IF(AND(A25&gt;0,A25&lt;=(Drivers!B19+Drivers!B20)),Drivers!B18*(1+Drivers!B23)^(A25/12),0)</f>
        <v>53903.53386</v>
      </c>
      <c r="J25" s="14">
        <f t="shared" si="1"/>
        <v>202618.4565</v>
      </c>
      <c r="K25" s="12">
        <f>IF(A25&gt;(Drivers!B19+Drivers!B20),MIN(1,0.5+0.5*(A25-(Drivers!B19+Drivers!B20))/Drivers!B39),0)</f>
        <v>0</v>
      </c>
      <c r="L25" s="14">
        <f>Drivers!B2*(B25-B24)*Drivers!B24*(1+Drivers!B22)^(A25/12)*Drivers!B25*K25</f>
        <v>0</v>
      </c>
      <c r="M25" s="14">
        <f>L25*Drivers!B26</f>
        <v>0</v>
      </c>
      <c r="N25" s="14">
        <f>(L25+M25)*Drivers!B27</f>
        <v>0</v>
      </c>
      <c r="O25" s="14">
        <f>IF(A25&gt;(Drivers!B19+Drivers!B20),Drivers!B28/12*(1+Drivers!B23)^(A25/12),0)</f>
        <v>0</v>
      </c>
      <c r="P25" s="14">
        <f>(L25+M25)*Drivers!B29</f>
        <v>0</v>
      </c>
      <c r="Q25" s="14">
        <f>Drivers!B3*Drivers!B30*(1+Drivers!B22)^(A25/12)*Drivers!B31*(1-Drivers!B32 )*K25</f>
        <v>0</v>
      </c>
      <c r="R25" s="14">
        <f>IF(A25&gt;(Drivers!B19+Drivers!B20),Drivers!B33/12*(1+Drivers!B23)^(A25/12),0)</f>
        <v>0</v>
      </c>
      <c r="S25" s="14">
        <f t="shared" si="2"/>
        <v>0</v>
      </c>
      <c r="T25" s="14">
        <f t="shared" si="6"/>
        <v>0</v>
      </c>
      <c r="U25" s="14">
        <f>IF(AND(A25&gt;Drivers!B19,A25&lt;=(Drivers!B19+Drivers!B20)),Summary!B31*D25,0)</f>
        <v>0</v>
      </c>
      <c r="V25" s="14">
        <f>IF(A25&lt;=(Drivers!B19+Drivers!B20),(T25+U25/2)*Drivers!B36/12,T25*Drivers!B36/12)</f>
        <v>0</v>
      </c>
      <c r="W25" s="14">
        <f>IF(A25&gt;(Drivers!B19+Drivers!B20),MIN(T25,MAX(0,Summary!B32/12-V25)),0)</f>
        <v>0</v>
      </c>
      <c r="X25" s="14">
        <f>IF(A25=(Drivers!B19+1),Summary!B31*Drivers!B38,0)</f>
        <v>0</v>
      </c>
      <c r="Y25" s="14">
        <f t="shared" si="3"/>
        <v>0</v>
      </c>
      <c r="Z25" s="14">
        <f t="shared" si="4"/>
        <v>-202618.4565</v>
      </c>
      <c r="AA25" s="14">
        <f t="shared" si="7"/>
        <v>-5940503.33</v>
      </c>
      <c r="AB25" s="14">
        <f t="shared" si="5"/>
        <v>-202618.4565</v>
      </c>
      <c r="AC25" s="14">
        <f>(E25+F25+G25+H25)*Drivers!B45</f>
        <v>22307.23839</v>
      </c>
      <c r="AD25" s="14">
        <f>IF(A25&lt;=Summary!B18,AB25+IF(A25=Summary!B18,Summary!B40,0),0)</f>
        <v>-202618.4565</v>
      </c>
      <c r="AE25" s="14">
        <f>IF(A25&lt;=Summary!B18,Z25+IF(A25=Summary!B18,Summary!B40-Y25,0),0)</f>
        <v>-202618.4565</v>
      </c>
      <c r="AF25" s="14">
        <f>AD25-IF(A25=0,Drivers!B44,0)</f>
        <v>-202618.4565</v>
      </c>
      <c r="AG25" s="14">
        <f t="shared" si="8"/>
        <v>-5940503.33</v>
      </c>
    </row>
    <row r="26">
      <c r="A26" s="2">
        <v>24.0</v>
      </c>
      <c r="B26" s="15">
        <f>EDATE(Setup!B2,A26)</f>
        <v>47010</v>
      </c>
      <c r="C26" s="2" t="str">
        <f>IF(A26=0,"T0",IF(A26&lt;=Drivers!B19,"Preconstruction",IF(A26&lt;=(Drivers!B19+Drivers!B20),"Construction","Trading")))</f>
        <v>Preconstruction</v>
      </c>
      <c r="D26" s="12">
        <f t="array" ref="D26">IF(AND(A26&gt;Drivers!B19,A26&lt;=(Drivers!B19+Drivers!B20)),SIN(PI()*(A26-Drivers!B19-0.5)/Drivers!B20)/SUMPRODUCT(SIN(PI()*(SEQUENCE(Drivers!B20,1)-0.5)/Drivers!B20)),0)</f>
        <v>0</v>
      </c>
      <c r="E26" s="14">
        <f>(Summary!B10+Summary!B12)*D26*(1+Drivers!B21)^(A26/12)</f>
        <v>0</v>
      </c>
      <c r="F26" s="14">
        <f>IF(AND(A26&gt;0,A26&lt;=Drivers!B19),Summary!B11*Drivers!B40/Drivers!B19*(1+Drivers!B21)^(A26/12),Summary!B11*(1-Drivers!B40 )*D26*(1+Drivers!B21)^(A26/12))</f>
        <v>149438.8</v>
      </c>
      <c r="G26" s="14">
        <f>IF(AND(A26&gt;0,A26&lt;=2),Drivers!B16/2,0)</f>
        <v>0</v>
      </c>
      <c r="H26" s="14">
        <f>IF(A26=(Drivers!B19+Drivers!B20),Drivers!B17*(1+Drivers!B21)^(A26/12),0)</f>
        <v>0</v>
      </c>
      <c r="I26" s="14">
        <f>IF(AND(A26&gt;0,A26&lt;=(Drivers!B19+Drivers!B20)),Drivers!B18*(1+Drivers!B23)^(A26/12),0)</f>
        <v>54080</v>
      </c>
      <c r="J26" s="14">
        <f t="shared" si="1"/>
        <v>203518.8</v>
      </c>
      <c r="K26" s="12">
        <f>IF(A26&gt;(Drivers!B19+Drivers!B20),MIN(1,0.5+0.5*(A26-(Drivers!B19+Drivers!B20))/Drivers!B39),0)</f>
        <v>0</v>
      </c>
      <c r="L26" s="14">
        <f>Drivers!B2*(B26-B25)*Drivers!B24*(1+Drivers!B22)^(A26/12)*Drivers!B25*K26</f>
        <v>0</v>
      </c>
      <c r="M26" s="14">
        <f>L26*Drivers!B26</f>
        <v>0</v>
      </c>
      <c r="N26" s="14">
        <f>(L26+M26)*Drivers!B27</f>
        <v>0</v>
      </c>
      <c r="O26" s="14">
        <f>IF(A26&gt;(Drivers!B19+Drivers!B20),Drivers!B28/12*(1+Drivers!B23)^(A26/12),0)</f>
        <v>0</v>
      </c>
      <c r="P26" s="14">
        <f>(L26+M26)*Drivers!B29</f>
        <v>0</v>
      </c>
      <c r="Q26" s="14">
        <f>Drivers!B3*Drivers!B30*(1+Drivers!B22)^(A26/12)*Drivers!B31*(1-Drivers!B32 )*K26</f>
        <v>0</v>
      </c>
      <c r="R26" s="14">
        <f>IF(A26&gt;(Drivers!B19+Drivers!B20),Drivers!B33/12*(1+Drivers!B23)^(A26/12),0)</f>
        <v>0</v>
      </c>
      <c r="S26" s="14">
        <f t="shared" si="2"/>
        <v>0</v>
      </c>
      <c r="T26" s="14">
        <f t="shared" si="6"/>
        <v>0</v>
      </c>
      <c r="U26" s="14">
        <f>IF(AND(A26&gt;Drivers!B19,A26&lt;=(Drivers!B19+Drivers!B20)),Summary!B31*D26,0)</f>
        <v>0</v>
      </c>
      <c r="V26" s="14">
        <f>IF(A26&lt;=(Drivers!B19+Drivers!B20),(T26+U26/2)*Drivers!B36/12,T26*Drivers!B36/12)</f>
        <v>0</v>
      </c>
      <c r="W26" s="14">
        <f>IF(A26&gt;(Drivers!B19+Drivers!B20),MIN(T26,MAX(0,Summary!B32/12-V26)),0)</f>
        <v>0</v>
      </c>
      <c r="X26" s="14">
        <f>IF(A26=(Drivers!B19+1),Summary!B31*Drivers!B38,0)</f>
        <v>0</v>
      </c>
      <c r="Y26" s="14">
        <f t="shared" si="3"/>
        <v>0</v>
      </c>
      <c r="Z26" s="14">
        <f t="shared" si="4"/>
        <v>-203518.8</v>
      </c>
      <c r="AA26" s="14">
        <f t="shared" si="7"/>
        <v>-6144022.13</v>
      </c>
      <c r="AB26" s="14">
        <f t="shared" si="5"/>
        <v>-203518.8</v>
      </c>
      <c r="AC26" s="14">
        <f>(E26+F26+G26+H26)*Drivers!B45</f>
        <v>22415.82</v>
      </c>
      <c r="AD26" s="14">
        <f>IF(A26&lt;=Summary!B18,AB26+IF(A26=Summary!B18,Summary!B40,0),0)</f>
        <v>-203518.8</v>
      </c>
      <c r="AE26" s="14">
        <f>IF(A26&lt;=Summary!B18,Z26+IF(A26=Summary!B18,Summary!B40-Y26,0),0)</f>
        <v>-203518.8</v>
      </c>
      <c r="AF26" s="14">
        <f>AD26-IF(A26=0,Drivers!B44,0)</f>
        <v>-203518.8</v>
      </c>
      <c r="AG26" s="14">
        <f t="shared" si="8"/>
        <v>-6144022.13</v>
      </c>
    </row>
    <row r="27">
      <c r="A27" s="2">
        <v>25.0</v>
      </c>
      <c r="B27" s="15">
        <f>EDATE(Setup!B2,A27)</f>
        <v>47040</v>
      </c>
      <c r="C27" s="2" t="str">
        <f>IF(A27=0,"T0",IF(A27&lt;=Drivers!B19,"Preconstruction",IF(A27&lt;=(Drivers!B19+Drivers!B20),"Construction","Trading")))</f>
        <v>Construction</v>
      </c>
      <c r="D27" s="12">
        <f t="array" ref="D27">IF(AND(A27&gt;Drivers!B19,A27&lt;=(Drivers!B19+Drivers!B20)),SIN(PI()*(A27-Drivers!B19-0.5)/Drivers!B20)/SUMPRODUCT(SIN(PI()*(SEQUENCE(Drivers!B20,1)-0.5)/Drivers!B20)),0)</f>
        <v>0.007596123494</v>
      </c>
      <c r="E27" s="14">
        <f>(Summary!B10+Summary!B12)*D27*(1+Drivers!B21)^(A27/12)</f>
        <v>1063114.698</v>
      </c>
      <c r="F27" s="14">
        <f>IF(AND(A27&gt;0,A27&lt;=Drivers!B19),Summary!B11*Drivers!B40/Drivers!B19*(1+Drivers!B21)^(A27/12),Summary!B11*(1-Drivers!B40 )*D27*(1+Drivers!B21)^(A27/12))</f>
        <v>63878.13638</v>
      </c>
      <c r="G27" s="14">
        <f>IF(AND(A27&gt;0,A27&lt;=2),Drivers!B16/2,0)</f>
        <v>0</v>
      </c>
      <c r="H27" s="14">
        <f>IF(A27=(Drivers!B19+Drivers!B20),Drivers!B17*(1+Drivers!B21)^(A27/12),0)</f>
        <v>0</v>
      </c>
      <c r="I27" s="14">
        <f>IF(AND(A27&gt;0,A27&lt;=(Drivers!B19+Drivers!B20)),Drivers!B18*(1+Drivers!B23)^(A27/12),0)</f>
        <v>54257.04385</v>
      </c>
      <c r="J27" s="14">
        <f t="shared" si="1"/>
        <v>1181249.879</v>
      </c>
      <c r="K27" s="12">
        <f>IF(A27&gt;(Drivers!B19+Drivers!B20),MIN(1,0.5+0.5*(A27-(Drivers!B19+Drivers!B20))/Drivers!B39),0)</f>
        <v>0</v>
      </c>
      <c r="L27" s="14">
        <f>Drivers!B2*(B27-B26)*Drivers!B24*(1+Drivers!B22)^(A27/12)*Drivers!B25*K27</f>
        <v>0</v>
      </c>
      <c r="M27" s="14">
        <f>L27*Drivers!B26</f>
        <v>0</v>
      </c>
      <c r="N27" s="14">
        <f>(L27+M27)*Drivers!B27</f>
        <v>0</v>
      </c>
      <c r="O27" s="14">
        <f>IF(A27&gt;(Drivers!B19+Drivers!B20),Drivers!B28/12*(1+Drivers!B23)^(A27/12),0)</f>
        <v>0</v>
      </c>
      <c r="P27" s="14">
        <f>(L27+M27)*Drivers!B29</f>
        <v>0</v>
      </c>
      <c r="Q27" s="14">
        <f>Drivers!B3*Drivers!B30*(1+Drivers!B22)^(A27/12)*Drivers!B31*(1-Drivers!B32 )*K27</f>
        <v>0</v>
      </c>
      <c r="R27" s="14">
        <f>IF(A27&gt;(Drivers!B19+Drivers!B20),Drivers!B33/12*(1+Drivers!B23)^(A27/12),0)</f>
        <v>0</v>
      </c>
      <c r="S27" s="14">
        <f t="shared" si="2"/>
        <v>0</v>
      </c>
      <c r="T27" s="14">
        <f t="shared" si="6"/>
        <v>0</v>
      </c>
      <c r="U27" s="14">
        <f>IF(AND(A27&gt;Drivers!B19,A27&lt;=(Drivers!B19+Drivers!B20)),Summary!B31*D27,0)</f>
        <v>168025.1258</v>
      </c>
      <c r="V27" s="14">
        <f>IF(A27&lt;=(Drivers!B19+Drivers!B20),(T27+U27/2)*Drivers!B36/12,T27*Drivers!B36/12)</f>
        <v>805.1203943</v>
      </c>
      <c r="W27" s="14">
        <f>IF(A27&gt;(Drivers!B19+Drivers!B20),MIN(T27,MAX(0,Summary!B32/12-V27)),0)</f>
        <v>0</v>
      </c>
      <c r="X27" s="14">
        <f>IF(A27=(Drivers!B19+1),Summary!B31*Drivers!B38,0)</f>
        <v>331797.7766</v>
      </c>
      <c r="Y27" s="14">
        <f t="shared" si="3"/>
        <v>168025.1258</v>
      </c>
      <c r="Z27" s="14">
        <f t="shared" si="4"/>
        <v>-1345827.65</v>
      </c>
      <c r="AA27" s="14">
        <f t="shared" si="7"/>
        <v>-7489849.78</v>
      </c>
      <c r="AB27" s="14">
        <f t="shared" si="5"/>
        <v>-1181249.879</v>
      </c>
      <c r="AC27" s="14">
        <f>(E27+F27+G27+H27)*Drivers!B45</f>
        <v>169048.9252</v>
      </c>
      <c r="AD27" s="14">
        <f>IF(A27&lt;=Summary!B18,AB27+IF(A27=Summary!B18,Summary!B40,0),0)</f>
        <v>-1181249.879</v>
      </c>
      <c r="AE27" s="14">
        <f>IF(A27&lt;=Summary!B18,Z27+IF(A27=Summary!B18,Summary!B40-Y27,0),0)</f>
        <v>-1345827.65</v>
      </c>
      <c r="AF27" s="14">
        <f>AD27-IF(A27=0,Drivers!B44,0)</f>
        <v>-1181249.879</v>
      </c>
      <c r="AG27" s="14">
        <f t="shared" si="8"/>
        <v>-7325272.009</v>
      </c>
    </row>
    <row r="28">
      <c r="A28" s="2">
        <v>26.0</v>
      </c>
      <c r="B28" s="15">
        <f>EDATE(Setup!B2,A28)</f>
        <v>47071</v>
      </c>
      <c r="C28" s="2" t="str">
        <f>IF(A28=0,"T0",IF(A28&lt;=Drivers!B19,"Preconstruction",IF(A28&lt;=(Drivers!B19+Drivers!B20),"Construction","Trading")))</f>
        <v>Construction</v>
      </c>
      <c r="D28" s="12">
        <f t="array" ref="D28">IF(AND(A28&gt;Drivers!B19,A28&lt;=(Drivers!B19+Drivers!B20)),SIN(PI()*(A28-Drivers!B19-0.5)/Drivers!B20)/SUMPRODUCT(SIN(PI()*(SEQUENCE(Drivers!B20,1)-0.5)/Drivers!B20)),0)</f>
        <v>0.02255756611</v>
      </c>
      <c r="E28" s="14">
        <f>(Summary!B10+Summary!B12)*D28*(1+Drivers!B21)^(A28/12)</f>
        <v>3172408.954</v>
      </c>
      <c r="F28" s="14">
        <f>IF(AND(A28&gt;0,A28&lt;=Drivers!B19),Summary!B11*Drivers!B40/Drivers!B19*(1+Drivers!B21)^(A28/12),Summary!B11*(1-Drivers!B40 )*D28*(1+Drivers!B21)^(A28/12))</f>
        <v>190616.847</v>
      </c>
      <c r="G28" s="14">
        <f>IF(AND(A28&gt;0,A28&lt;=2),Drivers!B16/2,0)</f>
        <v>0</v>
      </c>
      <c r="H28" s="14">
        <f>IF(A28=(Drivers!B19+Drivers!B20),Drivers!B17*(1+Drivers!B21)^(A28/12),0)</f>
        <v>0</v>
      </c>
      <c r="I28" s="14">
        <f>IF(AND(A28&gt;0,A28&lt;=(Drivers!B19+Drivers!B20)),Drivers!B18*(1+Drivers!B23)^(A28/12),0)</f>
        <v>54434.66729</v>
      </c>
      <c r="J28" s="14">
        <f t="shared" si="1"/>
        <v>3417460.468</v>
      </c>
      <c r="K28" s="12">
        <f>IF(A28&gt;(Drivers!B19+Drivers!B20),MIN(1,0.5+0.5*(A28-(Drivers!B19+Drivers!B20))/Drivers!B39),0)</f>
        <v>0</v>
      </c>
      <c r="L28" s="14">
        <f>Drivers!B2*(B28-B27)*Drivers!B24*(1+Drivers!B22)^(A28/12)*Drivers!B25*K28</f>
        <v>0</v>
      </c>
      <c r="M28" s="14">
        <f>L28*Drivers!B26</f>
        <v>0</v>
      </c>
      <c r="N28" s="14">
        <f>(L28+M28)*Drivers!B27</f>
        <v>0</v>
      </c>
      <c r="O28" s="14">
        <f>IF(A28&gt;(Drivers!B19+Drivers!B20),Drivers!B28/12*(1+Drivers!B23)^(A28/12),0)</f>
        <v>0</v>
      </c>
      <c r="P28" s="14">
        <f>(L28+M28)*Drivers!B29</f>
        <v>0</v>
      </c>
      <c r="Q28" s="14">
        <f>Drivers!B3*Drivers!B30*(1+Drivers!B22)^(A28/12)*Drivers!B31*(1-Drivers!B32 )*K28</f>
        <v>0</v>
      </c>
      <c r="R28" s="14">
        <f>IF(A28&gt;(Drivers!B19+Drivers!B20),Drivers!B33/12*(1+Drivers!B23)^(A28/12),0)</f>
        <v>0</v>
      </c>
      <c r="S28" s="14">
        <f t="shared" si="2"/>
        <v>0</v>
      </c>
      <c r="T28" s="14">
        <f t="shared" si="6"/>
        <v>168025.1258</v>
      </c>
      <c r="U28" s="14">
        <f>IF(AND(A28&gt;Drivers!B19,A28&lt;=(Drivers!B19+Drivers!B20)),Summary!B31*D28,0)</f>
        <v>498970.0189</v>
      </c>
      <c r="V28" s="14">
        <f>IF(A28&lt;=(Drivers!B19+Drivers!B20),(T28+U28/2)*Drivers!B36/12,T28*Drivers!B36/12)</f>
        <v>4001.138796</v>
      </c>
      <c r="W28" s="14">
        <f>IF(A28&gt;(Drivers!B19+Drivers!B20),MIN(T28,MAX(0,Summary!B32/12-V28)),0)</f>
        <v>0</v>
      </c>
      <c r="X28" s="14">
        <f>IF(A28=(Drivers!B19+1),Summary!B31*Drivers!B38,0)</f>
        <v>0</v>
      </c>
      <c r="Y28" s="14">
        <f t="shared" si="3"/>
        <v>666995.1446</v>
      </c>
      <c r="Z28" s="14">
        <f t="shared" si="4"/>
        <v>-2922491.588</v>
      </c>
      <c r="AA28" s="14">
        <f t="shared" si="7"/>
        <v>-10412341.37</v>
      </c>
      <c r="AB28" s="14">
        <f t="shared" si="5"/>
        <v>-3417460.468</v>
      </c>
      <c r="AC28" s="14">
        <f>(E28+F28+G28+H28)*Drivers!B45</f>
        <v>504453.8701</v>
      </c>
      <c r="AD28" s="14">
        <f>IF(A28&lt;=Summary!B18,AB28+IF(A28=Summary!B18,Summary!B40,0),0)</f>
        <v>-3417460.468</v>
      </c>
      <c r="AE28" s="14">
        <f>IF(A28&lt;=Summary!B18,Z28+IF(A28=Summary!B18,Summary!B40-Y28,0),0)</f>
        <v>-2922491.588</v>
      </c>
      <c r="AF28" s="14">
        <f>AD28-IF(A28=0,Drivers!B44,0)</f>
        <v>-3417460.468</v>
      </c>
      <c r="AG28" s="14">
        <f t="shared" si="8"/>
        <v>-10742732.48</v>
      </c>
    </row>
    <row r="29">
      <c r="A29" s="2">
        <v>27.0</v>
      </c>
      <c r="B29" s="15">
        <f>EDATE(Setup!B2,A29)</f>
        <v>47101</v>
      </c>
      <c r="C29" s="2" t="str">
        <f>IF(A29=0,"T0",IF(A29&lt;=Drivers!B19,"Preconstruction",IF(A29&lt;=(Drivers!B19+Drivers!B20),"Construction","Trading")))</f>
        <v>Construction</v>
      </c>
      <c r="D29" s="12">
        <f t="array" ref="D29">IF(AND(A29&gt;Drivers!B19,A29&lt;=(Drivers!B19+Drivers!B20)),SIN(PI()*(A29-Drivers!B19-0.5)/Drivers!B20)/SUMPRODUCT(SIN(PI()*(SEQUENCE(Drivers!B20,1)-0.5)/Drivers!B20)),0)</f>
        <v>0.0368336085</v>
      </c>
      <c r="E29" s="14">
        <f>(Summary!B10+Summary!B12)*D29*(1+Drivers!B21)^(A29/12)</f>
        <v>5205350.98</v>
      </c>
      <c r="F29" s="14">
        <f>IF(AND(A29&gt;0,A29&lt;=Drivers!B19),Summary!B11*Drivers!B40/Drivers!B19*(1+Drivers!B21)^(A29/12),Summary!B11*(1-Drivers!B40 )*D29*(1+Drivers!B21)^(A29/12))</f>
        <v>312767.87</v>
      </c>
      <c r="G29" s="14">
        <f>IF(AND(A29&gt;0,A29&lt;=2),Drivers!B16/2,0)</f>
        <v>0</v>
      </c>
      <c r="H29" s="14">
        <f>IF(A29=(Drivers!B19+Drivers!B20),Drivers!B17*(1+Drivers!B21)^(A29/12),0)</f>
        <v>0</v>
      </c>
      <c r="I29" s="14">
        <f>IF(AND(A29&gt;0,A29&lt;=(Drivers!B19+Drivers!B20)),Drivers!B18*(1+Drivers!B23)^(A29/12),0)</f>
        <v>54612.87223</v>
      </c>
      <c r="J29" s="14">
        <f t="shared" si="1"/>
        <v>5572731.722</v>
      </c>
      <c r="K29" s="12">
        <f>IF(A29&gt;(Drivers!B19+Drivers!B20),MIN(1,0.5+0.5*(A29-(Drivers!B19+Drivers!B20))/Drivers!B39),0)</f>
        <v>0</v>
      </c>
      <c r="L29" s="14">
        <f>Drivers!B2*(B29-B28)*Drivers!B24*(1+Drivers!B22)^(A29/12)*Drivers!B25*K29</f>
        <v>0</v>
      </c>
      <c r="M29" s="14">
        <f>L29*Drivers!B26</f>
        <v>0</v>
      </c>
      <c r="N29" s="14">
        <f>(L29+M29)*Drivers!B27</f>
        <v>0</v>
      </c>
      <c r="O29" s="14">
        <f>IF(A29&gt;(Drivers!B19+Drivers!B20),Drivers!B28/12*(1+Drivers!B23)^(A29/12),0)</f>
        <v>0</v>
      </c>
      <c r="P29" s="14">
        <f>(L29+M29)*Drivers!B29</f>
        <v>0</v>
      </c>
      <c r="Q29" s="14">
        <f>Drivers!B3*Drivers!B30*(1+Drivers!B22)^(A29/12)*Drivers!B31*(1-Drivers!B32 )*K29</f>
        <v>0</v>
      </c>
      <c r="R29" s="14">
        <f>IF(A29&gt;(Drivers!B19+Drivers!B20),Drivers!B33/12*(1+Drivers!B23)^(A29/12),0)</f>
        <v>0</v>
      </c>
      <c r="S29" s="14">
        <f t="shared" si="2"/>
        <v>0</v>
      </c>
      <c r="T29" s="14">
        <f t="shared" si="6"/>
        <v>666995.1446</v>
      </c>
      <c r="U29" s="14">
        <f>IF(AND(A29&gt;Drivers!B19,A29&lt;=(Drivers!B19+Drivers!B20)),Summary!B31*D29,0)</f>
        <v>814753.9604</v>
      </c>
      <c r="V29" s="14">
        <f>IF(A29&lt;=(Drivers!B19+Drivers!B20),(T29+U29/2)*Drivers!B36/12,T29*Drivers!B36/12)</f>
        <v>10296.0662</v>
      </c>
      <c r="W29" s="14">
        <f>IF(A29&gt;(Drivers!B19+Drivers!B20),MIN(T29,MAX(0,Summary!B32/12-V29)),0)</f>
        <v>0</v>
      </c>
      <c r="X29" s="14">
        <f>IF(A29=(Drivers!B19+1),Summary!B31*Drivers!B38,0)</f>
        <v>0</v>
      </c>
      <c r="Y29" s="14">
        <f t="shared" si="3"/>
        <v>1481749.105</v>
      </c>
      <c r="Z29" s="14">
        <f t="shared" si="4"/>
        <v>-4768273.828</v>
      </c>
      <c r="AA29" s="14">
        <f t="shared" si="7"/>
        <v>-15180615.2</v>
      </c>
      <c r="AB29" s="14">
        <f t="shared" si="5"/>
        <v>-5572731.722</v>
      </c>
      <c r="AC29" s="14">
        <f>(E29+F29+G29+H29)*Drivers!B45</f>
        <v>827717.8275</v>
      </c>
      <c r="AD29" s="14">
        <f>IF(A29&lt;=Summary!B18,AB29+IF(A29=Summary!B18,Summary!B40,0),0)</f>
        <v>-5572731.722</v>
      </c>
      <c r="AE29" s="14">
        <f>IF(A29&lt;=Summary!B18,Z29+IF(A29=Summary!B18,Summary!B40-Y29,0),0)</f>
        <v>-4768273.828</v>
      </c>
      <c r="AF29" s="14">
        <f>AD29-IF(A29=0,Drivers!B44,0)</f>
        <v>-5572731.722</v>
      </c>
      <c r="AG29" s="14">
        <f t="shared" si="8"/>
        <v>-16315464.2</v>
      </c>
    </row>
    <row r="30">
      <c r="A30" s="2">
        <v>28.0</v>
      </c>
      <c r="B30" s="15">
        <f>EDATE(Setup!B2,A30)</f>
        <v>47132</v>
      </c>
      <c r="C30" s="2" t="str">
        <f>IF(A30=0,"T0",IF(A30&lt;=Drivers!B19,"Preconstruction",IF(A30&lt;=(Drivers!B19+Drivers!B20),"Construction","Trading")))</f>
        <v>Construction</v>
      </c>
      <c r="D30" s="12">
        <f t="array" ref="D30">IF(AND(A30&gt;Drivers!B19,A30&lt;=(Drivers!B19+Drivers!B20)),SIN(PI()*(A30-Drivers!B19-0.5)/Drivers!B20)/SUMPRODUCT(SIN(PI()*(SEQUENCE(Drivers!B20,1)-0.5)/Drivers!B20)),0)</f>
        <v>0.04999048033</v>
      </c>
      <c r="E30" s="14">
        <f>(Summary!B10+Summary!B12)*D30*(1+Drivers!B21)^(A30/12)</f>
        <v>7099076.921</v>
      </c>
      <c r="F30" s="14">
        <f>IF(AND(A30&gt;0,A30&lt;=Drivers!B19),Summary!B11*Drivers!B40/Drivers!B19*(1+Drivers!B21)^(A30/12),Summary!B11*(1-Drivers!B40 )*D30*(1+Drivers!B21)^(A30/12))</f>
        <v>426553.9781</v>
      </c>
      <c r="G30" s="14">
        <f>IF(AND(A30&gt;0,A30&lt;=2),Drivers!B16/2,0)</f>
        <v>0</v>
      </c>
      <c r="H30" s="14">
        <f>IF(A30=(Drivers!B19+Drivers!B20),Drivers!B17*(1+Drivers!B21)^(A30/12),0)</f>
        <v>0</v>
      </c>
      <c r="I30" s="14">
        <f>IF(AND(A30&gt;0,A30&lt;=(Drivers!B19+Drivers!B20)),Drivers!B18*(1+Drivers!B23)^(A30/12),0)</f>
        <v>54791.66056</v>
      </c>
      <c r="J30" s="14">
        <f t="shared" si="1"/>
        <v>7580422.56</v>
      </c>
      <c r="K30" s="12">
        <f>IF(A30&gt;(Drivers!B19+Drivers!B20),MIN(1,0.5+0.5*(A30-(Drivers!B19+Drivers!B20))/Drivers!B39),0)</f>
        <v>0</v>
      </c>
      <c r="L30" s="14">
        <f>Drivers!B2*(B30-B29)*Drivers!B24*(1+Drivers!B22)^(A30/12)*Drivers!B25*K30</f>
        <v>0</v>
      </c>
      <c r="M30" s="14">
        <f>L30*Drivers!B26</f>
        <v>0</v>
      </c>
      <c r="N30" s="14">
        <f>(L30+M30)*Drivers!B27</f>
        <v>0</v>
      </c>
      <c r="O30" s="14">
        <f>IF(A30&gt;(Drivers!B19+Drivers!B20),Drivers!B28/12*(1+Drivers!B23)^(A30/12),0)</f>
        <v>0</v>
      </c>
      <c r="P30" s="14">
        <f>(L30+M30)*Drivers!B29</f>
        <v>0</v>
      </c>
      <c r="Q30" s="14">
        <f>Drivers!B3*Drivers!B30*(1+Drivers!B22)^(A30/12)*Drivers!B31*(1-Drivers!B32 )*K30</f>
        <v>0</v>
      </c>
      <c r="R30" s="14">
        <f>IF(A30&gt;(Drivers!B19+Drivers!B20),Drivers!B33/12*(1+Drivers!B23)^(A30/12),0)</f>
        <v>0</v>
      </c>
      <c r="S30" s="14">
        <f t="shared" si="2"/>
        <v>0</v>
      </c>
      <c r="T30" s="14">
        <f t="shared" si="6"/>
        <v>1481749.105</v>
      </c>
      <c r="U30" s="14">
        <f>IF(AND(A30&gt;Drivers!B19,A30&lt;=(Drivers!B19+Drivers!B20)),Summary!B31*D30,0)</f>
        <v>1105782.015</v>
      </c>
      <c r="V30" s="14">
        <f>IF(A30&lt;=(Drivers!B19+Drivers!B20),(T30+U30/2)*Drivers!B36/12,T30*Drivers!B36/12)</f>
        <v>19498.63441</v>
      </c>
      <c r="W30" s="14">
        <f>IF(A30&gt;(Drivers!B19+Drivers!B20),MIN(T30,MAX(0,Summary!B32/12-V30)),0)</f>
        <v>0</v>
      </c>
      <c r="X30" s="14">
        <f>IF(A30=(Drivers!B19+1),Summary!B31*Drivers!B38,0)</f>
        <v>0</v>
      </c>
      <c r="Y30" s="14">
        <f t="shared" si="3"/>
        <v>2587531.12</v>
      </c>
      <c r="Z30" s="14">
        <f t="shared" si="4"/>
        <v>-6494139.179</v>
      </c>
      <c r="AA30" s="14">
        <f t="shared" si="7"/>
        <v>-21674754.38</v>
      </c>
      <c r="AB30" s="14">
        <f t="shared" si="5"/>
        <v>-7580422.56</v>
      </c>
      <c r="AC30" s="14">
        <f>(E30+F30+G30+H30)*Drivers!B45</f>
        <v>1128844.635</v>
      </c>
      <c r="AD30" s="14">
        <f>IF(A30&lt;=Summary!B18,AB30+IF(A30=Summary!B18,Summary!B40,0),0)</f>
        <v>-7580422.56</v>
      </c>
      <c r="AE30" s="14">
        <f>IF(A30&lt;=Summary!B18,Z30+IF(A30=Summary!B18,Summary!B40-Y30,0),0)</f>
        <v>-6494139.179</v>
      </c>
      <c r="AF30" s="14">
        <f>AD30-IF(A30=0,Drivers!B44,0)</f>
        <v>-7580422.56</v>
      </c>
      <c r="AG30" s="14">
        <f t="shared" si="8"/>
        <v>-23895886.76</v>
      </c>
    </row>
    <row r="31">
      <c r="A31" s="2">
        <v>29.0</v>
      </c>
      <c r="B31" s="15">
        <f>EDATE(Setup!B2,A31)</f>
        <v>47163</v>
      </c>
      <c r="C31" s="2" t="str">
        <f>IF(A31=0,"T0",IF(A31&lt;=Drivers!B19,"Preconstruction",IF(A31&lt;=(Drivers!B19+Drivers!B20),"Construction","Trading")))</f>
        <v>Construction</v>
      </c>
      <c r="D31" s="12">
        <f t="array" ref="D31">IF(AND(A31&gt;Drivers!B19,A31&lt;=(Drivers!B19+Drivers!B20)),SIN(PI()*(A31-Drivers!B19-0.5)/Drivers!B20)/SUMPRODUCT(SIN(PI()*(SEQUENCE(Drivers!B20,1)-0.5)/Drivers!B20)),0)</f>
        <v>0.06162841672</v>
      </c>
      <c r="E31" s="14">
        <f>(Summary!B10+Summary!B12)*D31*(1+Drivers!B21)^(A31/12)</f>
        <v>8794363.346</v>
      </c>
      <c r="F31" s="14">
        <f>IF(AND(A31&gt;0,A31&lt;=Drivers!B19),Summary!B11*Drivers!B40/Drivers!B19*(1+Drivers!B21)^(A31/12),Summary!B11*(1-Drivers!B40 )*D31*(1+Drivers!B21)^(A31/12))</f>
        <v>528416.6817</v>
      </c>
      <c r="G31" s="14">
        <f>IF(AND(A31&gt;0,A31&lt;=2),Drivers!B16/2,0)</f>
        <v>0</v>
      </c>
      <c r="H31" s="14">
        <f>IF(A31=(Drivers!B19+Drivers!B20),Drivers!B17*(1+Drivers!B21)^(A31/12),0)</f>
        <v>0</v>
      </c>
      <c r="I31" s="14">
        <f>IF(AND(A31&gt;0,A31&lt;=(Drivers!B19+Drivers!B20)),Drivers!B18*(1+Drivers!B23)^(A31/12),0)</f>
        <v>54971.0342</v>
      </c>
      <c r="J31" s="14">
        <f t="shared" si="1"/>
        <v>9377751.062</v>
      </c>
      <c r="K31" s="12">
        <f>IF(A31&gt;(Drivers!B19+Drivers!B20),MIN(1,0.5+0.5*(A31-(Drivers!B19+Drivers!B20))/Drivers!B39),0)</f>
        <v>0</v>
      </c>
      <c r="L31" s="14">
        <f>Drivers!B2*(B31-B30)*Drivers!B24*(1+Drivers!B22)^(A31/12)*Drivers!B25*K31</f>
        <v>0</v>
      </c>
      <c r="M31" s="14">
        <f>L31*Drivers!B26</f>
        <v>0</v>
      </c>
      <c r="N31" s="14">
        <f>(L31+M31)*Drivers!B27</f>
        <v>0</v>
      </c>
      <c r="O31" s="14">
        <f>IF(A31&gt;(Drivers!B19+Drivers!B20),Drivers!B28/12*(1+Drivers!B23)^(A31/12),0)</f>
        <v>0</v>
      </c>
      <c r="P31" s="14">
        <f>(L31+M31)*Drivers!B29</f>
        <v>0</v>
      </c>
      <c r="Q31" s="14">
        <f>Drivers!B3*Drivers!B30*(1+Drivers!B22)^(A31/12)*Drivers!B31*(1-Drivers!B32 )*K31</f>
        <v>0</v>
      </c>
      <c r="R31" s="14">
        <f>IF(A31&gt;(Drivers!B19+Drivers!B20),Drivers!B33/12*(1+Drivers!B23)^(A31/12),0)</f>
        <v>0</v>
      </c>
      <c r="S31" s="14">
        <f t="shared" si="2"/>
        <v>0</v>
      </c>
      <c r="T31" s="14">
        <f t="shared" si="6"/>
        <v>2587531.12</v>
      </c>
      <c r="U31" s="14">
        <f>IF(AND(A31&gt;Drivers!B19,A31&lt;=(Drivers!B19+Drivers!B20)),Summary!B31*D31,0)</f>
        <v>1363211.443</v>
      </c>
      <c r="V31" s="14">
        <f>IF(A31&lt;=(Drivers!B19+Drivers!B20),(T31+U31/2)*Drivers!B36/12,T31*Drivers!B36/12)</f>
        <v>31329.22807</v>
      </c>
      <c r="W31" s="14">
        <f>IF(A31&gt;(Drivers!B19+Drivers!B20),MIN(T31,MAX(0,Summary!B32/12-V31)),0)</f>
        <v>0</v>
      </c>
      <c r="X31" s="14">
        <f>IF(A31=(Drivers!B19+1),Summary!B31*Drivers!B38,0)</f>
        <v>0</v>
      </c>
      <c r="Y31" s="14">
        <f t="shared" si="3"/>
        <v>3950742.563</v>
      </c>
      <c r="Z31" s="14">
        <f t="shared" si="4"/>
        <v>-8045868.847</v>
      </c>
      <c r="AA31" s="14">
        <f t="shared" si="7"/>
        <v>-29720623.22</v>
      </c>
      <c r="AB31" s="14">
        <f t="shared" si="5"/>
        <v>-9377751.062</v>
      </c>
      <c r="AC31" s="14">
        <f>(E31+F31+G31+H31)*Drivers!B45</f>
        <v>1398417.004</v>
      </c>
      <c r="AD31" s="14">
        <f>IF(A31&lt;=Summary!B18,AB31+IF(A31=Summary!B18,Summary!B40,0),0)</f>
        <v>-9377751.062</v>
      </c>
      <c r="AE31" s="14">
        <f>IF(A31&lt;=Summary!B18,Z31+IF(A31=Summary!B18,Summary!B40-Y31,0),0)</f>
        <v>-8045868.847</v>
      </c>
      <c r="AF31" s="14">
        <f>AD31-IF(A31=0,Drivers!B44,0)</f>
        <v>-9377751.062</v>
      </c>
      <c r="AG31" s="14">
        <f t="shared" si="8"/>
        <v>-33273637.82</v>
      </c>
    </row>
    <row r="32">
      <c r="A32" s="2">
        <v>30.0</v>
      </c>
      <c r="B32" s="15">
        <f>EDATE(Setup!B2,A32)</f>
        <v>47191</v>
      </c>
      <c r="C32" s="2" t="str">
        <f>IF(A32=0,"T0",IF(A32&lt;=Drivers!B19,"Preconstruction",IF(A32&lt;=(Drivers!B19+Drivers!B20),"Construction","Trading")))</f>
        <v>Construction</v>
      </c>
      <c r="D32" s="12">
        <f t="array" ref="D32">IF(AND(A32&gt;Drivers!B19,A32&lt;=(Drivers!B19+Drivers!B20)),SIN(PI()*(A32-Drivers!B19-0.5)/Drivers!B20)/SUMPRODUCT(SIN(PI()*(SEQUENCE(Drivers!B20,1)-0.5)/Drivers!B20)),0)</f>
        <v>0.07139380484</v>
      </c>
      <c r="E32" s="14">
        <f>(Summary!B10+Summary!B12)*D32*(1+Drivers!B21)^(A32/12)</f>
        <v>10237472.41</v>
      </c>
      <c r="F32" s="14">
        <f>IF(AND(A32&gt;0,A32&lt;=Drivers!B19),Summary!B11*Drivers!B40/Drivers!B19*(1+Drivers!B21)^(A32/12),Summary!B11*(1-Drivers!B40 )*D32*(1+Drivers!B21)^(A32/12))</f>
        <v>615127.0974</v>
      </c>
      <c r="G32" s="14">
        <f>IF(AND(A32&gt;0,A32&lt;=2),Drivers!B16/2,0)</f>
        <v>0</v>
      </c>
      <c r="H32" s="14">
        <f>IF(A32=(Drivers!B19+Drivers!B20),Drivers!B17*(1+Drivers!B21)^(A32/12),0)</f>
        <v>0</v>
      </c>
      <c r="I32" s="14">
        <f>IF(AND(A32&gt;0,A32&lt;=(Drivers!B19+Drivers!B20)),Drivers!B18*(1+Drivers!B23)^(A32/12),0)</f>
        <v>55150.99506</v>
      </c>
      <c r="J32" s="14">
        <f t="shared" si="1"/>
        <v>10907750.5</v>
      </c>
      <c r="K32" s="12">
        <f>IF(A32&gt;(Drivers!B19+Drivers!B20),MIN(1,0.5+0.5*(A32-(Drivers!B19+Drivers!B20))/Drivers!B39),0)</f>
        <v>0</v>
      </c>
      <c r="L32" s="14">
        <f>Drivers!B2*(B32-B31)*Drivers!B24*(1+Drivers!B22)^(A32/12)*Drivers!B25*K32</f>
        <v>0</v>
      </c>
      <c r="M32" s="14">
        <f>L32*Drivers!B26</f>
        <v>0</v>
      </c>
      <c r="N32" s="14">
        <f>(L32+M32)*Drivers!B27</f>
        <v>0</v>
      </c>
      <c r="O32" s="14">
        <f>IF(A32&gt;(Drivers!B19+Drivers!B20),Drivers!B28/12*(1+Drivers!B23)^(A32/12),0)</f>
        <v>0</v>
      </c>
      <c r="P32" s="14">
        <f>(L32+M32)*Drivers!B29</f>
        <v>0</v>
      </c>
      <c r="Q32" s="14">
        <f>Drivers!B3*Drivers!B30*(1+Drivers!B22)^(A32/12)*Drivers!B31*(1-Drivers!B32 )*K32</f>
        <v>0</v>
      </c>
      <c r="R32" s="14">
        <f>IF(A32&gt;(Drivers!B19+Drivers!B20),Drivers!B33/12*(1+Drivers!B23)^(A32/12),0)</f>
        <v>0</v>
      </c>
      <c r="S32" s="14">
        <f t="shared" si="2"/>
        <v>0</v>
      </c>
      <c r="T32" s="14">
        <f t="shared" si="6"/>
        <v>3950742.563</v>
      </c>
      <c r="U32" s="14">
        <f>IF(AND(A32&gt;Drivers!B19,A32&lt;=(Drivers!B19+Drivers!B20)),Summary!B31*D32,0)</f>
        <v>1579220.381</v>
      </c>
      <c r="V32" s="14">
        <f>IF(A32&lt;=(Drivers!B19+Drivers!B20),(T32+U32/2)*Drivers!B36/12,T32*Drivers!B36/12)</f>
        <v>45428.38056</v>
      </c>
      <c r="W32" s="14">
        <f>IF(A32&gt;(Drivers!B19+Drivers!B20),MIN(T32,MAX(0,Summary!B32/12-V32)),0)</f>
        <v>0</v>
      </c>
      <c r="X32" s="14">
        <f>IF(A32=(Drivers!B19+1),Summary!B31*Drivers!B38,0)</f>
        <v>0</v>
      </c>
      <c r="Y32" s="14">
        <f t="shared" si="3"/>
        <v>5529962.944</v>
      </c>
      <c r="Z32" s="14">
        <f t="shared" si="4"/>
        <v>-9373958.5</v>
      </c>
      <c r="AA32" s="14">
        <f t="shared" si="7"/>
        <v>-39094581.72</v>
      </c>
      <c r="AB32" s="14">
        <f t="shared" si="5"/>
        <v>-10907750.5</v>
      </c>
      <c r="AC32" s="14">
        <f>(E32+F32+G32+H32)*Drivers!B45</f>
        <v>1627889.926</v>
      </c>
      <c r="AD32" s="14">
        <f>IF(A32&lt;=Summary!B18,AB32+IF(A32=Summary!B18,Summary!B40,0),0)</f>
        <v>-10907750.5</v>
      </c>
      <c r="AE32" s="14">
        <f>IF(A32&lt;=Summary!B18,Z32+IF(A32=Summary!B18,Summary!B40-Y32,0),0)</f>
        <v>-9373958.5</v>
      </c>
      <c r="AF32" s="14">
        <f>AD32-IF(A32=0,Drivers!B44,0)</f>
        <v>-10907750.5</v>
      </c>
      <c r="AG32" s="14">
        <f t="shared" si="8"/>
        <v>-44181388.32</v>
      </c>
    </row>
    <row r="33">
      <c r="A33" s="2">
        <v>31.0</v>
      </c>
      <c r="B33" s="15">
        <f>EDATE(Setup!B2,A33)</f>
        <v>47222</v>
      </c>
      <c r="C33" s="2" t="str">
        <f>IF(A33=0,"T0",IF(A33&lt;=Drivers!B19,"Preconstruction",IF(A33&lt;=(Drivers!B19+Drivers!B20),"Construction","Trading")))</f>
        <v>Construction</v>
      </c>
      <c r="D33" s="12">
        <f t="array" ref="D33">IF(AND(A33&gt;Drivers!B19,A33&lt;=(Drivers!B19+Drivers!B20)),SIN(PI()*(A33-Drivers!B19-0.5)/Drivers!B20)/SUMPRODUCT(SIN(PI()*(SEQUENCE(Drivers!B20,1)-0.5)/Drivers!B20)),0)</f>
        <v>0.07898992834</v>
      </c>
      <c r="E33" s="14">
        <f>(Summary!B10+Summary!B12)*D33*(1+Drivers!B21)^(A33/12)</f>
        <v>11381847.4</v>
      </c>
      <c r="F33" s="14">
        <f>IF(AND(A33&gt;0,A33&lt;=Drivers!B19),Summary!B11*Drivers!B40/Drivers!B19*(1+Drivers!B21)^(A33/12),Summary!B11*(1-Drivers!B40 )*D33*(1+Drivers!B21)^(A33/12))</f>
        <v>683887.8263</v>
      </c>
      <c r="G33" s="14">
        <f>IF(AND(A33&gt;0,A33&lt;=2),Drivers!B16/2,0)</f>
        <v>0</v>
      </c>
      <c r="H33" s="14">
        <f>IF(A33=(Drivers!B19+Drivers!B20),Drivers!B17*(1+Drivers!B21)^(A33/12),0)</f>
        <v>0</v>
      </c>
      <c r="I33" s="14">
        <f>IF(AND(A33&gt;0,A33&lt;=(Drivers!B19+Drivers!B20)),Drivers!B18*(1+Drivers!B23)^(A33/12),0)</f>
        <v>55331.54507</v>
      </c>
      <c r="J33" s="14">
        <f t="shared" si="1"/>
        <v>12121066.77</v>
      </c>
      <c r="K33" s="12">
        <f>IF(A33&gt;(Drivers!B19+Drivers!B20),MIN(1,0.5+0.5*(A33-(Drivers!B19+Drivers!B20))/Drivers!B39),0)</f>
        <v>0</v>
      </c>
      <c r="L33" s="14">
        <f>Drivers!B2*(B33-B32)*Drivers!B24*(1+Drivers!B22)^(A33/12)*Drivers!B25*K33</f>
        <v>0</v>
      </c>
      <c r="M33" s="14">
        <f>L33*Drivers!B26</f>
        <v>0</v>
      </c>
      <c r="N33" s="14">
        <f>(L33+M33)*Drivers!B27</f>
        <v>0</v>
      </c>
      <c r="O33" s="14">
        <f>IF(A33&gt;(Drivers!B19+Drivers!B20),Drivers!B28/12*(1+Drivers!B23)^(A33/12),0)</f>
        <v>0</v>
      </c>
      <c r="P33" s="14">
        <f>(L33+M33)*Drivers!B29</f>
        <v>0</v>
      </c>
      <c r="Q33" s="14">
        <f>Drivers!B3*Drivers!B30*(1+Drivers!B22)^(A33/12)*Drivers!B31*(1-Drivers!B32 )*K33</f>
        <v>0</v>
      </c>
      <c r="R33" s="14">
        <f>IF(A33&gt;(Drivers!B19+Drivers!B20),Drivers!B33/12*(1+Drivers!B23)^(A33/12),0)</f>
        <v>0</v>
      </c>
      <c r="S33" s="14">
        <f t="shared" si="2"/>
        <v>0</v>
      </c>
      <c r="T33" s="14">
        <f t="shared" si="6"/>
        <v>5529962.944</v>
      </c>
      <c r="U33" s="14">
        <f>IF(AND(A33&gt;Drivers!B19,A33&lt;=(Drivers!B19+Drivers!B20)),Summary!B31*D33,0)</f>
        <v>1747245.507</v>
      </c>
      <c r="V33" s="14">
        <f>IF(A33&lt;=(Drivers!B19+Drivers!B20),(T33+U33/2)*Drivers!B36/12,T33*Drivers!B36/12)</f>
        <v>61367.69627</v>
      </c>
      <c r="W33" s="14">
        <f>IF(A33&gt;(Drivers!B19+Drivers!B20),MIN(T33,MAX(0,Summary!B32/12-V33)),0)</f>
        <v>0</v>
      </c>
      <c r="X33" s="14">
        <f>IF(A33=(Drivers!B19+1),Summary!B31*Drivers!B38,0)</f>
        <v>0</v>
      </c>
      <c r="Y33" s="14">
        <f t="shared" si="3"/>
        <v>7277208.451</v>
      </c>
      <c r="Z33" s="14">
        <f t="shared" si="4"/>
        <v>-10435188.96</v>
      </c>
      <c r="AA33" s="14">
        <f t="shared" si="7"/>
        <v>-49529770.68</v>
      </c>
      <c r="AB33" s="14">
        <f t="shared" si="5"/>
        <v>-12121066.77</v>
      </c>
      <c r="AC33" s="14">
        <f>(E33+F33+G33+H33)*Drivers!B45</f>
        <v>1809860.283</v>
      </c>
      <c r="AD33" s="14">
        <f>IF(A33&lt;=Summary!B18,AB33+IF(A33=Summary!B18,Summary!B40,0),0)</f>
        <v>-12121066.77</v>
      </c>
      <c r="AE33" s="14">
        <f>IF(A33&lt;=Summary!B18,Z33+IF(A33=Summary!B18,Summary!B40-Y33,0),0)</f>
        <v>-10435188.96</v>
      </c>
      <c r="AF33" s="14">
        <f>AD33-IF(A33=0,Drivers!B44,0)</f>
        <v>-12121066.77</v>
      </c>
      <c r="AG33" s="14">
        <f t="shared" si="8"/>
        <v>-56302455.09</v>
      </c>
    </row>
    <row r="34">
      <c r="A34" s="2">
        <v>32.0</v>
      </c>
      <c r="B34" s="15">
        <f>EDATE(Setup!B2,A34)</f>
        <v>47252</v>
      </c>
      <c r="C34" s="2" t="str">
        <f>IF(A34=0,"T0",IF(A34&lt;=Drivers!B19,"Preconstruction",IF(A34&lt;=(Drivers!B19+Drivers!B20),"Construction","Trading")))</f>
        <v>Construction</v>
      </c>
      <c r="D34" s="12">
        <f t="array" ref="D34">IF(AND(A34&gt;Drivers!B19,A34&lt;=(Drivers!B19+Drivers!B20)),SIN(PI()*(A34-Drivers!B19-0.5)/Drivers!B20)/SUMPRODUCT(SIN(PI()*(SEQUENCE(Drivers!B20,1)-0.5)/Drivers!B20)),0)</f>
        <v>0.08418598283</v>
      </c>
      <c r="E34" s="14">
        <f>(Summary!B10+Summary!B12)*D34*(1+Drivers!B21)^(A34/12)</f>
        <v>12189605.41</v>
      </c>
      <c r="F34" s="14">
        <f>IF(AND(A34&gt;0,A34&lt;=Drivers!B19),Summary!B11*Drivers!B40/Drivers!B19*(1+Drivers!B21)^(A34/12),Summary!B11*(1-Drivers!B40 )*D34*(1+Drivers!B21)^(A34/12))</f>
        <v>732422.6424</v>
      </c>
      <c r="G34" s="14">
        <f>IF(AND(A34&gt;0,A34&lt;=2),Drivers!B16/2,0)</f>
        <v>0</v>
      </c>
      <c r="H34" s="14">
        <f>IF(A34=(Drivers!B19+Drivers!B20),Drivers!B17*(1+Drivers!B21)^(A34/12),0)</f>
        <v>0</v>
      </c>
      <c r="I34" s="14">
        <f>IF(AND(A34&gt;0,A34&lt;=(Drivers!B19+Drivers!B20)),Drivers!B18*(1+Drivers!B23)^(A34/12),0)</f>
        <v>55512.68615</v>
      </c>
      <c r="J34" s="14">
        <f t="shared" si="1"/>
        <v>12977540.73</v>
      </c>
      <c r="K34" s="12">
        <f>IF(A34&gt;(Drivers!B19+Drivers!B20),MIN(1,0.5+0.5*(A34-(Drivers!B19+Drivers!B20))/Drivers!B39),0)</f>
        <v>0</v>
      </c>
      <c r="L34" s="14">
        <f>Drivers!B2*(B34-B33)*Drivers!B24*(1+Drivers!B22)^(A34/12)*Drivers!B25*K34</f>
        <v>0</v>
      </c>
      <c r="M34" s="14">
        <f>L34*Drivers!B26</f>
        <v>0</v>
      </c>
      <c r="N34" s="14">
        <f>(L34+M34)*Drivers!B27</f>
        <v>0</v>
      </c>
      <c r="O34" s="14">
        <f>IF(A34&gt;(Drivers!B19+Drivers!B20),Drivers!B28/12*(1+Drivers!B23)^(A34/12),0)</f>
        <v>0</v>
      </c>
      <c r="P34" s="14">
        <f>(L34+M34)*Drivers!B29</f>
        <v>0</v>
      </c>
      <c r="Q34" s="14">
        <f>Drivers!B3*Drivers!B30*(1+Drivers!B22)^(A34/12)*Drivers!B31*(1-Drivers!B32 )*K34</f>
        <v>0</v>
      </c>
      <c r="R34" s="14">
        <f>IF(A34&gt;(Drivers!B19+Drivers!B20),Drivers!B33/12*(1+Drivers!B23)^(A34/12),0)</f>
        <v>0</v>
      </c>
      <c r="S34" s="14">
        <f t="shared" si="2"/>
        <v>0</v>
      </c>
      <c r="T34" s="14">
        <f t="shared" si="6"/>
        <v>7277208.451</v>
      </c>
      <c r="U34" s="14">
        <f>IF(AND(A34&gt;Drivers!B19,A34&lt;=(Drivers!B19+Drivers!B20)),Summary!B31*D34,0)</f>
        <v>1862181.462</v>
      </c>
      <c r="V34" s="14">
        <f>IF(A34&lt;=(Drivers!B19+Drivers!B20),(T34+U34/2)*Drivers!B36/12,T34*Drivers!B36/12)</f>
        <v>78662.86716</v>
      </c>
      <c r="W34" s="14">
        <f>IF(A34&gt;(Drivers!B19+Drivers!B20),MIN(T34,MAX(0,Summary!B32/12-V34)),0)</f>
        <v>0</v>
      </c>
      <c r="X34" s="14">
        <f>IF(A34=(Drivers!B19+1),Summary!B31*Drivers!B38,0)</f>
        <v>0</v>
      </c>
      <c r="Y34" s="14">
        <f t="shared" si="3"/>
        <v>9139389.912</v>
      </c>
      <c r="Z34" s="14">
        <f t="shared" si="4"/>
        <v>-11194022.14</v>
      </c>
      <c r="AA34" s="14">
        <f t="shared" si="7"/>
        <v>-60723792.82</v>
      </c>
      <c r="AB34" s="14">
        <f t="shared" si="5"/>
        <v>-12977540.73</v>
      </c>
      <c r="AC34" s="14">
        <f>(E34+F34+G34+H34)*Drivers!B45</f>
        <v>1938304.207</v>
      </c>
      <c r="AD34" s="14">
        <f>IF(A34&lt;=Summary!B18,AB34+IF(A34=Summary!B18,Summary!B40,0),0)</f>
        <v>-12977540.73</v>
      </c>
      <c r="AE34" s="14">
        <f>IF(A34&lt;=Summary!B18,Z34+IF(A34=Summary!B18,Summary!B40-Y34,0),0)</f>
        <v>-11194022.14</v>
      </c>
      <c r="AF34" s="14">
        <f>AD34-IF(A34=0,Drivers!B44,0)</f>
        <v>-12977540.73</v>
      </c>
      <c r="AG34" s="14">
        <f t="shared" si="8"/>
        <v>-69279995.82</v>
      </c>
    </row>
    <row r="35">
      <c r="A35" s="2">
        <v>33.0</v>
      </c>
      <c r="B35" s="15">
        <f>EDATE(Setup!B2,A35)</f>
        <v>47283</v>
      </c>
      <c r="C35" s="2" t="str">
        <f>IF(A35=0,"T0",IF(A35&lt;=Drivers!B19,"Preconstruction",IF(A35&lt;=(Drivers!B19+Drivers!B20),"Construction","Trading")))</f>
        <v>Construction</v>
      </c>
      <c r="D35" s="12">
        <f t="array" ref="D35">IF(AND(A35&gt;Drivers!B19,A35&lt;=(Drivers!B19+Drivers!B20)),SIN(PI()*(A35-Drivers!B19-0.5)/Drivers!B20)/SUMPRODUCT(SIN(PI()*(SEQUENCE(Drivers!B20,1)-0.5)/Drivers!B20)),0)</f>
        <v>0.08682408883</v>
      </c>
      <c r="E35" s="14">
        <f>(Summary!B10+Summary!B12)*D35*(1+Drivers!B21)^(A35/12)</f>
        <v>12632779.54</v>
      </c>
      <c r="F35" s="14">
        <f>IF(AND(A35&gt;0,A35&lt;=Drivers!B19),Summary!B11*Drivers!B40/Drivers!B19*(1+Drivers!B21)^(A35/12),Summary!B11*(1-Drivers!B40 )*D35*(1+Drivers!B21)^(A35/12))</f>
        <v>759051.1312</v>
      </c>
      <c r="G35" s="14">
        <f>IF(AND(A35&gt;0,A35&lt;=2),Drivers!B16/2,0)</f>
        <v>0</v>
      </c>
      <c r="H35" s="14">
        <f>IF(A35=(Drivers!B19+Drivers!B20),Drivers!B17*(1+Drivers!B21)^(A35/12),0)</f>
        <v>0</v>
      </c>
      <c r="I35" s="14">
        <f>IF(AND(A35&gt;0,A35&lt;=(Drivers!B19+Drivers!B20)),Drivers!B18*(1+Drivers!B23)^(A35/12),0)</f>
        <v>55694.42023</v>
      </c>
      <c r="J35" s="14">
        <f t="shared" si="1"/>
        <v>13447525.09</v>
      </c>
      <c r="K35" s="12">
        <f>IF(A35&gt;(Drivers!B19+Drivers!B20),MIN(1,0.5+0.5*(A35-(Drivers!B19+Drivers!B20))/Drivers!B39),0)</f>
        <v>0</v>
      </c>
      <c r="L35" s="14">
        <f>Drivers!B2*(B35-B34)*Drivers!B24*(1+Drivers!B22)^(A35/12)*Drivers!B25*K35</f>
        <v>0</v>
      </c>
      <c r="M35" s="14">
        <f>L35*Drivers!B26</f>
        <v>0</v>
      </c>
      <c r="N35" s="14">
        <f>(L35+M35)*Drivers!B27</f>
        <v>0</v>
      </c>
      <c r="O35" s="14">
        <f>IF(A35&gt;(Drivers!B19+Drivers!B20),Drivers!B28/12*(1+Drivers!B23)^(A35/12),0)</f>
        <v>0</v>
      </c>
      <c r="P35" s="14">
        <f>(L35+M35)*Drivers!B29</f>
        <v>0</v>
      </c>
      <c r="Q35" s="14">
        <f>Drivers!B3*Drivers!B30*(1+Drivers!B22)^(A35/12)*Drivers!B31*(1-Drivers!B32 )*K35</f>
        <v>0</v>
      </c>
      <c r="R35" s="14">
        <f>IF(A35&gt;(Drivers!B19+Drivers!B20),Drivers!B33/12*(1+Drivers!B23)^(A35/12),0)</f>
        <v>0</v>
      </c>
      <c r="S35" s="14">
        <f t="shared" si="2"/>
        <v>0</v>
      </c>
      <c r="T35" s="14">
        <f t="shared" si="6"/>
        <v>9139389.912</v>
      </c>
      <c r="U35" s="14">
        <f>IF(AND(A35&gt;Drivers!B19,A35&lt;=(Drivers!B19+Drivers!B20)),Summary!B31*D35,0)</f>
        <v>1920535.976</v>
      </c>
      <c r="V35" s="14">
        <f>IF(A35&lt;=(Drivers!B19+Drivers!B20),(T35+U35/2)*Drivers!B36/12,T35*Drivers!B36/12)</f>
        <v>96788.38821</v>
      </c>
      <c r="W35" s="14">
        <f>IF(A35&gt;(Drivers!B19+Drivers!B20),MIN(T35,MAX(0,Summary!B32/12-V35)),0)</f>
        <v>0</v>
      </c>
      <c r="X35" s="14">
        <f>IF(A35=(Drivers!B19+1),Summary!B31*Drivers!B38,0)</f>
        <v>0</v>
      </c>
      <c r="Y35" s="14">
        <f t="shared" si="3"/>
        <v>11059925.89</v>
      </c>
      <c r="Z35" s="14">
        <f t="shared" si="4"/>
        <v>-11623777.5</v>
      </c>
      <c r="AA35" s="14">
        <f t="shared" si="7"/>
        <v>-72347570.32</v>
      </c>
      <c r="AB35" s="14">
        <f t="shared" si="5"/>
        <v>-13447525.09</v>
      </c>
      <c r="AC35" s="14">
        <f>(E35+F35+G35+H35)*Drivers!B45</f>
        <v>2008774.601</v>
      </c>
      <c r="AD35" s="14">
        <f>IF(A35&lt;=Summary!B18,AB35+IF(A35=Summary!B18,Summary!B40,0),0)</f>
        <v>-13447525.09</v>
      </c>
      <c r="AE35" s="14">
        <f>IF(A35&lt;=Summary!B18,Z35+IF(A35=Summary!B18,Summary!B40-Y35,0),0)</f>
        <v>-11623777.5</v>
      </c>
      <c r="AF35" s="14">
        <f>AD35-IF(A35=0,Drivers!B44,0)</f>
        <v>-13447525.09</v>
      </c>
      <c r="AG35" s="14">
        <f t="shared" si="8"/>
        <v>-82727520.91</v>
      </c>
    </row>
    <row r="36">
      <c r="A36" s="2">
        <v>34.0</v>
      </c>
      <c r="B36" s="15">
        <f>EDATE(Setup!B2,A36)</f>
        <v>47313</v>
      </c>
      <c r="C36" s="2" t="str">
        <f>IF(A36=0,"T0",IF(A36&lt;=Drivers!B19,"Preconstruction",IF(A36&lt;=(Drivers!B19+Drivers!B20),"Construction","Trading")))</f>
        <v>Construction</v>
      </c>
      <c r="D36" s="12">
        <f t="array" ref="D36">IF(AND(A36&gt;Drivers!B19,A36&lt;=(Drivers!B19+Drivers!B20)),SIN(PI()*(A36-Drivers!B19-0.5)/Drivers!B20)/SUMPRODUCT(SIN(PI()*(SEQUENCE(Drivers!B20,1)-0.5)/Drivers!B20)),0)</f>
        <v>0.08682408883</v>
      </c>
      <c r="E36" s="14">
        <f>(Summary!B10+Summary!B12)*D36*(1+Drivers!B21)^(A36/12)</f>
        <v>12694270.23</v>
      </c>
      <c r="F36" s="14">
        <f>IF(AND(A36&gt;0,A36&lt;=Drivers!B19),Summary!B11*Drivers!B40/Drivers!B19*(1+Drivers!B21)^(A36/12),Summary!B11*(1-Drivers!B40 )*D36*(1+Drivers!B21)^(A36/12))</f>
        <v>762745.8509</v>
      </c>
      <c r="G36" s="14">
        <f>IF(AND(A36&gt;0,A36&lt;=2),Drivers!B16/2,0)</f>
        <v>0</v>
      </c>
      <c r="H36" s="14">
        <f>IF(A36=(Drivers!B19+Drivers!B20),Drivers!B17*(1+Drivers!B21)^(A36/12),0)</f>
        <v>0</v>
      </c>
      <c r="I36" s="14">
        <f>IF(AND(A36&gt;0,A36&lt;=(Drivers!B19+Drivers!B20)),Drivers!B18*(1+Drivers!B23)^(A36/12),0)</f>
        <v>55876.74927</v>
      </c>
      <c r="J36" s="14">
        <f t="shared" si="1"/>
        <v>13512892.83</v>
      </c>
      <c r="K36" s="12">
        <f>IF(A36&gt;(Drivers!B19+Drivers!B20),MIN(1,0.5+0.5*(A36-(Drivers!B19+Drivers!B20))/Drivers!B39),0)</f>
        <v>0</v>
      </c>
      <c r="L36" s="14">
        <f>Drivers!B2*(B36-B35)*Drivers!B24*(1+Drivers!B22)^(A36/12)*Drivers!B25*K36</f>
        <v>0</v>
      </c>
      <c r="M36" s="14">
        <f>L36*Drivers!B26</f>
        <v>0</v>
      </c>
      <c r="N36" s="14">
        <f>(L36+M36)*Drivers!B27</f>
        <v>0</v>
      </c>
      <c r="O36" s="14">
        <f>IF(A36&gt;(Drivers!B19+Drivers!B20),Drivers!B28/12*(1+Drivers!B23)^(A36/12),0)</f>
        <v>0</v>
      </c>
      <c r="P36" s="14">
        <f>(L36+M36)*Drivers!B29</f>
        <v>0</v>
      </c>
      <c r="Q36" s="14">
        <f>Drivers!B3*Drivers!B30*(1+Drivers!B22)^(A36/12)*Drivers!B31*(1-Drivers!B32 )*K36</f>
        <v>0</v>
      </c>
      <c r="R36" s="14">
        <f>IF(A36&gt;(Drivers!B19+Drivers!B20),Drivers!B33/12*(1+Drivers!B23)^(A36/12),0)</f>
        <v>0</v>
      </c>
      <c r="S36" s="14">
        <f t="shared" si="2"/>
        <v>0</v>
      </c>
      <c r="T36" s="14">
        <f t="shared" si="6"/>
        <v>11059925.89</v>
      </c>
      <c r="U36" s="14">
        <f>IF(AND(A36&gt;Drivers!B19,A36&lt;=(Drivers!B19+Drivers!B20)),Summary!B31*D36,0)</f>
        <v>1920535.976</v>
      </c>
      <c r="V36" s="14">
        <f>IF(A36&lt;=(Drivers!B19+Drivers!B20),(T36+U36/2)*Drivers!B36/12,T36*Drivers!B36/12)</f>
        <v>115193.5246</v>
      </c>
      <c r="W36" s="14">
        <f>IF(A36&gt;(Drivers!B19+Drivers!B20),MIN(T36,MAX(0,Summary!B32/12-V36)),0)</f>
        <v>0</v>
      </c>
      <c r="X36" s="14">
        <f>IF(A36=(Drivers!B19+1),Summary!B31*Drivers!B38,0)</f>
        <v>0</v>
      </c>
      <c r="Y36" s="14">
        <f t="shared" si="3"/>
        <v>12980461.86</v>
      </c>
      <c r="Z36" s="14">
        <f t="shared" si="4"/>
        <v>-11707550.38</v>
      </c>
      <c r="AA36" s="14">
        <f t="shared" si="7"/>
        <v>-84055120.7</v>
      </c>
      <c r="AB36" s="14">
        <f t="shared" si="5"/>
        <v>-13512892.83</v>
      </c>
      <c r="AC36" s="14">
        <f>(E36+F36+G36+H36)*Drivers!B45</f>
        <v>2018552.413</v>
      </c>
      <c r="AD36" s="14">
        <f>IF(A36&lt;=Summary!B18,AB36+IF(A36=Summary!B18,Summary!B40,0),0)</f>
        <v>-13512892.83</v>
      </c>
      <c r="AE36" s="14">
        <f>IF(A36&lt;=Summary!B18,Z36+IF(A36=Summary!B18,Summary!B40-Y36,0),0)</f>
        <v>-11707550.38</v>
      </c>
      <c r="AF36" s="14">
        <f>AD36-IF(A36=0,Drivers!B44,0)</f>
        <v>-13512892.83</v>
      </c>
      <c r="AG36" s="14">
        <f t="shared" si="8"/>
        <v>-96240413.75</v>
      </c>
    </row>
    <row r="37">
      <c r="A37" s="2">
        <v>35.0</v>
      </c>
      <c r="B37" s="15">
        <f>EDATE(Setup!B2,A37)</f>
        <v>47344</v>
      </c>
      <c r="C37" s="2" t="str">
        <f>IF(A37=0,"T0",IF(A37&lt;=Drivers!B19,"Preconstruction",IF(A37&lt;=(Drivers!B19+Drivers!B20),"Construction","Trading")))</f>
        <v>Construction</v>
      </c>
      <c r="D37" s="12">
        <f t="array" ref="D37">IF(AND(A37&gt;Drivers!B19,A37&lt;=(Drivers!B19+Drivers!B20)),SIN(PI()*(A37-Drivers!B19-0.5)/Drivers!B20)/SUMPRODUCT(SIN(PI()*(SEQUENCE(Drivers!B20,1)-0.5)/Drivers!B20)),0)</f>
        <v>0.08418598283</v>
      </c>
      <c r="E37" s="14">
        <f>(Summary!B10+Summary!B12)*D37*(1+Drivers!B21)^(A37/12)</f>
        <v>12368473.8</v>
      </c>
      <c r="F37" s="14">
        <f>IF(AND(A37&gt;0,A37&lt;=Drivers!B19),Summary!B11*Drivers!B40/Drivers!B19*(1+Drivers!B21)^(A37/12),Summary!B11*(1-Drivers!B40 )*D37*(1+Drivers!B21)^(A37/12))</f>
        <v>743170.0996</v>
      </c>
      <c r="G37" s="14">
        <f>IF(AND(A37&gt;0,A37&lt;=2),Drivers!B16/2,0)</f>
        <v>0</v>
      </c>
      <c r="H37" s="14">
        <f>IF(A37=(Drivers!B19+Drivers!B20),Drivers!B17*(1+Drivers!B21)^(A37/12),0)</f>
        <v>0</v>
      </c>
      <c r="I37" s="14">
        <f>IF(AND(A37&gt;0,A37&lt;=(Drivers!B19+Drivers!B20)),Drivers!B18*(1+Drivers!B23)^(A37/12),0)</f>
        <v>56059.67521</v>
      </c>
      <c r="J37" s="14">
        <f t="shared" si="1"/>
        <v>13167703.57</v>
      </c>
      <c r="K37" s="12">
        <f>IF(A37&gt;(Drivers!B19+Drivers!B20),MIN(1,0.5+0.5*(A37-(Drivers!B19+Drivers!B20))/Drivers!B39),0)</f>
        <v>0</v>
      </c>
      <c r="L37" s="14">
        <f>Drivers!B2*(B37-B36)*Drivers!B24*(1+Drivers!B22)^(A37/12)*Drivers!B25*K37</f>
        <v>0</v>
      </c>
      <c r="M37" s="14">
        <f>L37*Drivers!B26</f>
        <v>0</v>
      </c>
      <c r="N37" s="14">
        <f>(L37+M37)*Drivers!B27</f>
        <v>0</v>
      </c>
      <c r="O37" s="14">
        <f>IF(A37&gt;(Drivers!B19+Drivers!B20),Drivers!B28/12*(1+Drivers!B23)^(A37/12),0)</f>
        <v>0</v>
      </c>
      <c r="P37" s="14">
        <f>(L37+M37)*Drivers!B29</f>
        <v>0</v>
      </c>
      <c r="Q37" s="14">
        <f>Drivers!B3*Drivers!B30*(1+Drivers!B22)^(A37/12)*Drivers!B31*(1-Drivers!B32 )*K37</f>
        <v>0</v>
      </c>
      <c r="R37" s="14">
        <f>IF(A37&gt;(Drivers!B19+Drivers!B20),Drivers!B33/12*(1+Drivers!B23)^(A37/12),0)</f>
        <v>0</v>
      </c>
      <c r="S37" s="14">
        <f t="shared" si="2"/>
        <v>0</v>
      </c>
      <c r="T37" s="14">
        <f t="shared" si="6"/>
        <v>12980461.86</v>
      </c>
      <c r="U37" s="14">
        <f>IF(AND(A37&gt;Drivers!B19,A37&lt;=(Drivers!B19+Drivers!B20)),Summary!B31*D37,0)</f>
        <v>1862181.462</v>
      </c>
      <c r="V37" s="14">
        <f>IF(A37&lt;=(Drivers!B19+Drivers!B20),(T37+U37/2)*Drivers!B36/12,T37*Drivers!B36/12)</f>
        <v>133319.0457</v>
      </c>
      <c r="W37" s="14">
        <f>IF(A37&gt;(Drivers!B19+Drivers!B20),MIN(T37,MAX(0,Summary!B32/12-V37)),0)</f>
        <v>0</v>
      </c>
      <c r="X37" s="14">
        <f>IF(A37=(Drivers!B19+1),Summary!B31*Drivers!B38,0)</f>
        <v>0</v>
      </c>
      <c r="Y37" s="14">
        <f t="shared" si="3"/>
        <v>14842643.33</v>
      </c>
      <c r="Z37" s="14">
        <f t="shared" si="4"/>
        <v>-11438841.16</v>
      </c>
      <c r="AA37" s="14">
        <f t="shared" si="7"/>
        <v>-95493961.86</v>
      </c>
      <c r="AB37" s="14">
        <f t="shared" si="5"/>
        <v>-13167703.57</v>
      </c>
      <c r="AC37" s="14">
        <f>(E37+F37+G37+H37)*Drivers!B45</f>
        <v>1966746.585</v>
      </c>
      <c r="AD37" s="14">
        <f>IF(A37&lt;=Summary!B18,AB37+IF(A37=Summary!B18,Summary!B40,0),0)</f>
        <v>-13167703.57</v>
      </c>
      <c r="AE37" s="14">
        <f>IF(A37&lt;=Summary!B18,Z37+IF(A37=Summary!B18,Summary!B40-Y37,0),0)</f>
        <v>-11438841.16</v>
      </c>
      <c r="AF37" s="14">
        <f>AD37-IF(A37=0,Drivers!B44,0)</f>
        <v>-13167703.57</v>
      </c>
      <c r="AG37" s="14">
        <f t="shared" si="8"/>
        <v>-109408117.3</v>
      </c>
    </row>
    <row r="38">
      <c r="A38" s="2">
        <v>36.0</v>
      </c>
      <c r="B38" s="15">
        <f>EDATE(Setup!B2,A38)</f>
        <v>47375</v>
      </c>
      <c r="C38" s="2" t="str">
        <f>IF(A38=0,"T0",IF(A38&lt;=Drivers!B19,"Preconstruction",IF(A38&lt;=(Drivers!B19+Drivers!B20),"Construction","Trading")))</f>
        <v>Construction</v>
      </c>
      <c r="D38" s="12">
        <f t="array" ref="D38">IF(AND(A38&gt;Drivers!B19,A38&lt;=(Drivers!B19+Drivers!B20)),SIN(PI()*(A38-Drivers!B19-0.5)/Drivers!B20)/SUMPRODUCT(SIN(PI()*(SEQUENCE(Drivers!B20,1)-0.5)/Drivers!B20)),0)</f>
        <v>0.07898992834</v>
      </c>
      <c r="E38" s="14">
        <f>(Summary!B10+Summary!B12)*D38*(1+Drivers!B21)^(A38/12)</f>
        <v>11661565.85</v>
      </c>
      <c r="F38" s="14">
        <f>IF(AND(A38&gt;0,A38&lt;=Drivers!B19),Summary!B11*Drivers!B40/Drivers!B19*(1+Drivers!B21)^(A38/12),Summary!B11*(1-Drivers!B40 )*D38*(1+Drivers!B21)^(A38/12))</f>
        <v>700694.9437</v>
      </c>
      <c r="G38" s="14">
        <f>IF(AND(A38&gt;0,A38&lt;=2),Drivers!B16/2,0)</f>
        <v>0</v>
      </c>
      <c r="H38" s="14">
        <f>IF(A38=(Drivers!B19+Drivers!B20),Drivers!B17*(1+Drivers!B21)^(A38/12),0)</f>
        <v>0</v>
      </c>
      <c r="I38" s="14">
        <f>IF(AND(A38&gt;0,A38&lt;=(Drivers!B19+Drivers!B20)),Drivers!B18*(1+Drivers!B23)^(A38/12),0)</f>
        <v>56243.2</v>
      </c>
      <c r="J38" s="14">
        <f t="shared" si="1"/>
        <v>12418503.99</v>
      </c>
      <c r="K38" s="12">
        <f>IF(A38&gt;(Drivers!B19+Drivers!B20),MIN(1,0.5+0.5*(A38-(Drivers!B19+Drivers!B20))/Drivers!B39),0)</f>
        <v>0</v>
      </c>
      <c r="L38" s="14">
        <f>Drivers!B2*(B38-B37)*Drivers!B24*(1+Drivers!B22)^(A38/12)*Drivers!B25*K38</f>
        <v>0</v>
      </c>
      <c r="M38" s="14">
        <f>L38*Drivers!B26</f>
        <v>0</v>
      </c>
      <c r="N38" s="14">
        <f>(L38+M38)*Drivers!B27</f>
        <v>0</v>
      </c>
      <c r="O38" s="14">
        <f>IF(A38&gt;(Drivers!B19+Drivers!B20),Drivers!B28/12*(1+Drivers!B23)^(A38/12),0)</f>
        <v>0</v>
      </c>
      <c r="P38" s="14">
        <f>(L38+M38)*Drivers!B29</f>
        <v>0</v>
      </c>
      <c r="Q38" s="14">
        <f>Drivers!B3*Drivers!B30*(1+Drivers!B22)^(A38/12)*Drivers!B31*(1-Drivers!B32 )*K38</f>
        <v>0</v>
      </c>
      <c r="R38" s="14">
        <f>IF(A38&gt;(Drivers!B19+Drivers!B20),Drivers!B33/12*(1+Drivers!B23)^(A38/12),0)</f>
        <v>0</v>
      </c>
      <c r="S38" s="14">
        <f t="shared" si="2"/>
        <v>0</v>
      </c>
      <c r="T38" s="14">
        <f t="shared" si="6"/>
        <v>14842643.33</v>
      </c>
      <c r="U38" s="14">
        <f>IF(AND(A38&gt;Drivers!B19,A38&lt;=(Drivers!B19+Drivers!B20)),Summary!B31*D38,0)</f>
        <v>1747245.507</v>
      </c>
      <c r="V38" s="14">
        <f>IF(A38&lt;=(Drivers!B19+Drivers!B20),(T38+U38/2)*Drivers!B36/12,T38*Drivers!B36/12)</f>
        <v>150614.2166</v>
      </c>
      <c r="W38" s="14">
        <f>IF(A38&gt;(Drivers!B19+Drivers!B20),MIN(T38,MAX(0,Summary!B32/12-V38)),0)</f>
        <v>0</v>
      </c>
      <c r="X38" s="14">
        <f>IF(A38=(Drivers!B19+1),Summary!B31*Drivers!B38,0)</f>
        <v>0</v>
      </c>
      <c r="Y38" s="14">
        <f t="shared" si="3"/>
        <v>16589888.83</v>
      </c>
      <c r="Z38" s="14">
        <f t="shared" si="4"/>
        <v>-10821872.7</v>
      </c>
      <c r="AA38" s="14">
        <f t="shared" si="7"/>
        <v>-106315834.6</v>
      </c>
      <c r="AB38" s="14">
        <f t="shared" si="5"/>
        <v>-12418503.99</v>
      </c>
      <c r="AC38" s="14">
        <f>(E38+F38+G38+H38)*Drivers!B45</f>
        <v>1854339.119</v>
      </c>
      <c r="AD38" s="14">
        <f>IF(A38&lt;=Summary!B18,AB38+IF(A38=Summary!B18,Summary!B40,0),0)</f>
        <v>-12418503.99</v>
      </c>
      <c r="AE38" s="14">
        <f>IF(A38&lt;=Summary!B18,Z38+IF(A38=Summary!B18,Summary!B40-Y38,0),0)</f>
        <v>-10821872.7</v>
      </c>
      <c r="AF38" s="14">
        <f>AD38-IF(A38=0,Drivers!B44,0)</f>
        <v>-12418503.99</v>
      </c>
      <c r="AG38" s="14">
        <f t="shared" si="8"/>
        <v>-121826621.3</v>
      </c>
    </row>
    <row r="39">
      <c r="A39" s="2">
        <v>37.0</v>
      </c>
      <c r="B39" s="15">
        <f>EDATE(Setup!B2,A39)</f>
        <v>47405</v>
      </c>
      <c r="C39" s="2" t="str">
        <f>IF(A39=0,"T0",IF(A39&lt;=Drivers!B19,"Preconstruction",IF(A39&lt;=(Drivers!B19+Drivers!B20),"Construction","Trading")))</f>
        <v>Construction</v>
      </c>
      <c r="D39" s="12">
        <f t="array" ref="D39">IF(AND(A39&gt;Drivers!B19,A39&lt;=(Drivers!B19+Drivers!B20)),SIN(PI()*(A39-Drivers!B19-0.5)/Drivers!B20)/SUMPRODUCT(SIN(PI()*(SEQUENCE(Drivers!B20,1)-0.5)/Drivers!B20)),0)</f>
        <v>0.07139380484</v>
      </c>
      <c r="E39" s="14">
        <f>(Summary!B10+Summary!B12)*D39*(1+Drivers!B21)^(A39/12)</f>
        <v>10591427.53</v>
      </c>
      <c r="F39" s="14">
        <f>IF(AND(A39&gt;0,A39&lt;=Drivers!B19),Summary!B11*Drivers!B40/Drivers!B19*(1+Drivers!B21)^(A39/12),Summary!B11*(1-Drivers!B40 )*D39*(1+Drivers!B21)^(A39/12))</f>
        <v>636394.7872</v>
      </c>
      <c r="G39" s="14">
        <f>IF(AND(A39&gt;0,A39&lt;=2),Drivers!B16/2,0)</f>
        <v>0</v>
      </c>
      <c r="H39" s="14">
        <f>IF(A39=(Drivers!B19+Drivers!B20),Drivers!B17*(1+Drivers!B21)^(A39/12),0)</f>
        <v>0</v>
      </c>
      <c r="I39" s="14">
        <f>IF(AND(A39&gt;0,A39&lt;=(Drivers!B19+Drivers!B20)),Drivers!B18*(1+Drivers!B23)^(A39/12),0)</f>
        <v>56427.3256</v>
      </c>
      <c r="J39" s="14">
        <f t="shared" si="1"/>
        <v>11284249.64</v>
      </c>
      <c r="K39" s="12">
        <f>IF(A39&gt;(Drivers!B19+Drivers!B20),MIN(1,0.5+0.5*(A39-(Drivers!B19+Drivers!B20))/Drivers!B39),0)</f>
        <v>0</v>
      </c>
      <c r="L39" s="14">
        <f>Drivers!B2*(B39-B38)*Drivers!B24*(1+Drivers!B22)^(A39/12)*Drivers!B25*K39</f>
        <v>0</v>
      </c>
      <c r="M39" s="14">
        <f>L39*Drivers!B26</f>
        <v>0</v>
      </c>
      <c r="N39" s="14">
        <f>(L39+M39)*Drivers!B27</f>
        <v>0</v>
      </c>
      <c r="O39" s="14">
        <f>IF(A39&gt;(Drivers!B19+Drivers!B20),Drivers!B28/12*(1+Drivers!B23)^(A39/12),0)</f>
        <v>0</v>
      </c>
      <c r="P39" s="14">
        <f>(L39+M39)*Drivers!B29</f>
        <v>0</v>
      </c>
      <c r="Q39" s="14">
        <f>Drivers!B3*Drivers!B30*(1+Drivers!B22)^(A39/12)*Drivers!B31*(1-Drivers!B32 )*K39</f>
        <v>0</v>
      </c>
      <c r="R39" s="14">
        <f>IF(A39&gt;(Drivers!B19+Drivers!B20),Drivers!B33/12*(1+Drivers!B23)^(A39/12),0)</f>
        <v>0</v>
      </c>
      <c r="S39" s="14">
        <f t="shared" si="2"/>
        <v>0</v>
      </c>
      <c r="T39" s="14">
        <f t="shared" si="6"/>
        <v>16589888.83</v>
      </c>
      <c r="U39" s="14">
        <f>IF(AND(A39&gt;Drivers!B19,A39&lt;=(Drivers!B19+Drivers!B20)),Summary!B31*D39,0)</f>
        <v>1579220.381</v>
      </c>
      <c r="V39" s="14">
        <f>IF(A39&lt;=(Drivers!B19+Drivers!B20),(T39+U39/2)*Drivers!B36/12,T39*Drivers!B36/12)</f>
        <v>166553.5323</v>
      </c>
      <c r="W39" s="14">
        <f>IF(A39&gt;(Drivers!B19+Drivers!B20),MIN(T39,MAX(0,Summary!B32/12-V39)),0)</f>
        <v>0</v>
      </c>
      <c r="X39" s="14">
        <f>IF(A39=(Drivers!B19+1),Summary!B31*Drivers!B38,0)</f>
        <v>0</v>
      </c>
      <c r="Y39" s="14">
        <f t="shared" si="3"/>
        <v>18169109.21</v>
      </c>
      <c r="Z39" s="14">
        <f t="shared" si="4"/>
        <v>-9871582.794</v>
      </c>
      <c r="AA39" s="14">
        <f t="shared" si="7"/>
        <v>-116187417.4</v>
      </c>
      <c r="AB39" s="14">
        <f t="shared" si="5"/>
        <v>-11284249.64</v>
      </c>
      <c r="AC39" s="14">
        <f>(E39+F39+G39+H39)*Drivers!B45</f>
        <v>1684173.348</v>
      </c>
      <c r="AD39" s="14">
        <f>IF(A39&lt;=Summary!B18,AB39+IF(A39=Summary!B18,Summary!B40,0),0)</f>
        <v>-11284249.64</v>
      </c>
      <c r="AE39" s="14">
        <f>IF(A39&lt;=Summary!B18,Z39+IF(A39=Summary!B18,Summary!B40-Y39,0),0)</f>
        <v>-9871582.794</v>
      </c>
      <c r="AF39" s="14">
        <f>AD39-IF(A39=0,Drivers!B44,0)</f>
        <v>-11284249.64</v>
      </c>
      <c r="AG39" s="14">
        <f t="shared" si="8"/>
        <v>-133110871</v>
      </c>
    </row>
    <row r="40">
      <c r="A40" s="2">
        <v>38.0</v>
      </c>
      <c r="B40" s="15">
        <f>EDATE(Setup!B2,A40)</f>
        <v>47436</v>
      </c>
      <c r="C40" s="2" t="str">
        <f>IF(A40=0,"T0",IF(A40&lt;=Drivers!B19,"Preconstruction",IF(A40&lt;=(Drivers!B19+Drivers!B20),"Construction","Trading")))</f>
        <v>Construction</v>
      </c>
      <c r="D40" s="12">
        <f t="array" ref="D40">IF(AND(A40&gt;Drivers!B19,A40&lt;=(Drivers!B19+Drivers!B20)),SIN(PI()*(A40-Drivers!B19-0.5)/Drivers!B20)/SUMPRODUCT(SIN(PI()*(SEQUENCE(Drivers!B20,1)-0.5)/Drivers!B20)),0)</f>
        <v>0.06162841672</v>
      </c>
      <c r="E40" s="14">
        <f>(Summary!B10+Summary!B12)*D40*(1+Drivers!B21)^(A40/12)</f>
        <v>9187213.391</v>
      </c>
      <c r="F40" s="14">
        <f>IF(AND(A40&gt;0,A40&lt;=Drivers!B19),Summary!B11*Drivers!B40/Drivers!B19*(1+Drivers!B21)^(A40/12),Summary!B11*(1-Drivers!B40 )*D40*(1+Drivers!B21)^(A40/12))</f>
        <v>552021.4055</v>
      </c>
      <c r="G40" s="14">
        <f>IF(AND(A40&gt;0,A40&lt;=2),Drivers!B16/2,0)</f>
        <v>0</v>
      </c>
      <c r="H40" s="14">
        <f>IF(A40=(Drivers!B19+Drivers!B20),Drivers!B17*(1+Drivers!B21)^(A40/12),0)</f>
        <v>0</v>
      </c>
      <c r="I40" s="14">
        <f>IF(AND(A40&gt;0,A40&lt;=(Drivers!B19+Drivers!B20)),Drivers!B18*(1+Drivers!B23)^(A40/12),0)</f>
        <v>56612.05398</v>
      </c>
      <c r="J40" s="14">
        <f t="shared" si="1"/>
        <v>9795846.85</v>
      </c>
      <c r="K40" s="12">
        <f>IF(A40&gt;(Drivers!B19+Drivers!B20),MIN(1,0.5+0.5*(A40-(Drivers!B19+Drivers!B20))/Drivers!B39),0)</f>
        <v>0</v>
      </c>
      <c r="L40" s="14">
        <f>Drivers!B2*(B40-B39)*Drivers!B24*(1+Drivers!B22)^(A40/12)*Drivers!B25*K40</f>
        <v>0</v>
      </c>
      <c r="M40" s="14">
        <f>L40*Drivers!B26</f>
        <v>0</v>
      </c>
      <c r="N40" s="14">
        <f>(L40+M40)*Drivers!B27</f>
        <v>0</v>
      </c>
      <c r="O40" s="14">
        <f>IF(A40&gt;(Drivers!B19+Drivers!B20),Drivers!B28/12*(1+Drivers!B23)^(A40/12),0)</f>
        <v>0</v>
      </c>
      <c r="P40" s="14">
        <f>(L40+M40)*Drivers!B29</f>
        <v>0</v>
      </c>
      <c r="Q40" s="14">
        <f>Drivers!B3*Drivers!B30*(1+Drivers!B22)^(A40/12)*Drivers!B31*(1-Drivers!B32 )*K40</f>
        <v>0</v>
      </c>
      <c r="R40" s="14">
        <f>IF(A40&gt;(Drivers!B19+Drivers!B20),Drivers!B33/12*(1+Drivers!B23)^(A40/12),0)</f>
        <v>0</v>
      </c>
      <c r="S40" s="14">
        <f t="shared" si="2"/>
        <v>0</v>
      </c>
      <c r="T40" s="14">
        <f t="shared" si="6"/>
        <v>18169109.21</v>
      </c>
      <c r="U40" s="14">
        <f>IF(AND(A40&gt;Drivers!B19,A40&lt;=(Drivers!B19+Drivers!B20)),Summary!B31*D40,0)</f>
        <v>1363211.443</v>
      </c>
      <c r="V40" s="14">
        <f>IF(A40&lt;=(Drivers!B19+Drivers!B20),(T40+U40/2)*Drivers!B36/12,T40*Drivers!B36/12)</f>
        <v>180652.6848</v>
      </c>
      <c r="W40" s="14">
        <f>IF(A40&gt;(Drivers!B19+Drivers!B20),MIN(T40,MAX(0,Summary!B32/12-V40)),0)</f>
        <v>0</v>
      </c>
      <c r="X40" s="14">
        <f>IF(A40=(Drivers!B19+1),Summary!B31*Drivers!B38,0)</f>
        <v>0</v>
      </c>
      <c r="Y40" s="14">
        <f t="shared" si="3"/>
        <v>19532320.66</v>
      </c>
      <c r="Z40" s="14">
        <f t="shared" si="4"/>
        <v>-8613288.092</v>
      </c>
      <c r="AA40" s="14">
        <f t="shared" si="7"/>
        <v>-124800705.5</v>
      </c>
      <c r="AB40" s="14">
        <f t="shared" si="5"/>
        <v>-9795846.85</v>
      </c>
      <c r="AC40" s="14">
        <f>(E40+F40+G40+H40)*Drivers!B45</f>
        <v>1460885.219</v>
      </c>
      <c r="AD40" s="14">
        <f>IF(A40&lt;=Summary!B18,AB40+IF(A40=Summary!B18,Summary!B40,0),0)</f>
        <v>-9795846.85</v>
      </c>
      <c r="AE40" s="14">
        <f>IF(A40&lt;=Summary!B18,Z40+IF(A40=Summary!B18,Summary!B40-Y40,0),0)</f>
        <v>-8613288.092</v>
      </c>
      <c r="AF40" s="14">
        <f>AD40-IF(A40=0,Drivers!B44,0)</f>
        <v>-9795846.85</v>
      </c>
      <c r="AG40" s="14">
        <f t="shared" si="8"/>
        <v>-142906717.8</v>
      </c>
    </row>
    <row r="41">
      <c r="A41" s="2">
        <v>39.0</v>
      </c>
      <c r="B41" s="15">
        <f>EDATE(Setup!B2,A41)</f>
        <v>47466</v>
      </c>
      <c r="C41" s="2" t="str">
        <f>IF(A41=0,"T0",IF(A41&lt;=Drivers!B19,"Preconstruction",IF(A41&lt;=(Drivers!B19+Drivers!B20),"Construction","Trading")))</f>
        <v>Construction</v>
      </c>
      <c r="D41" s="12">
        <f t="array" ref="D41">IF(AND(A41&gt;Drivers!B19,A41&lt;=(Drivers!B19+Drivers!B20)),SIN(PI()*(A41-Drivers!B19-0.5)/Drivers!B20)/SUMPRODUCT(SIN(PI()*(SEQUENCE(Drivers!B20,1)-0.5)/Drivers!B20)),0)</f>
        <v>0.04999048033</v>
      </c>
      <c r="E41" s="14">
        <f>(Summary!B10+Summary!B12)*D41*(1+Drivers!B21)^(A41/12)</f>
        <v>7488570.541</v>
      </c>
      <c r="F41" s="14">
        <f>IF(AND(A41&gt;0,A41&lt;=Drivers!B19),Summary!B11*Drivers!B40/Drivers!B19*(1+Drivers!B21)^(A41/12),Summary!B11*(1-Drivers!B40 )*D41*(1+Drivers!B21)^(A41/12))</f>
        <v>449957.0282</v>
      </c>
      <c r="G41" s="14">
        <f>IF(AND(A41&gt;0,A41&lt;=2),Drivers!B16/2,0)</f>
        <v>0</v>
      </c>
      <c r="H41" s="14">
        <f>IF(A41=(Drivers!B19+Drivers!B20),Drivers!B17*(1+Drivers!B21)^(A41/12),0)</f>
        <v>0</v>
      </c>
      <c r="I41" s="14">
        <f>IF(AND(A41&gt;0,A41&lt;=(Drivers!B19+Drivers!B20)),Drivers!B18*(1+Drivers!B23)^(A41/12),0)</f>
        <v>56797.38712</v>
      </c>
      <c r="J41" s="14">
        <f t="shared" si="1"/>
        <v>7995324.956</v>
      </c>
      <c r="K41" s="12">
        <f>IF(A41&gt;(Drivers!B19+Drivers!B20),MIN(1,0.5+0.5*(A41-(Drivers!B19+Drivers!B20))/Drivers!B39),0)</f>
        <v>0</v>
      </c>
      <c r="L41" s="14">
        <f>Drivers!B2*(B41-B40)*Drivers!B24*(1+Drivers!B22)^(A41/12)*Drivers!B25*K41</f>
        <v>0</v>
      </c>
      <c r="M41" s="14">
        <f>L41*Drivers!B26</f>
        <v>0</v>
      </c>
      <c r="N41" s="14">
        <f>(L41+M41)*Drivers!B27</f>
        <v>0</v>
      </c>
      <c r="O41" s="14">
        <f>IF(A41&gt;(Drivers!B19+Drivers!B20),Drivers!B28/12*(1+Drivers!B23)^(A41/12),0)</f>
        <v>0</v>
      </c>
      <c r="P41" s="14">
        <f>(L41+M41)*Drivers!B29</f>
        <v>0</v>
      </c>
      <c r="Q41" s="14">
        <f>Drivers!B3*Drivers!B30*(1+Drivers!B22)^(A41/12)*Drivers!B31*(1-Drivers!B32 )*K41</f>
        <v>0</v>
      </c>
      <c r="R41" s="14">
        <f>IF(A41&gt;(Drivers!B19+Drivers!B20),Drivers!B33/12*(1+Drivers!B23)^(A41/12),0)</f>
        <v>0</v>
      </c>
      <c r="S41" s="14">
        <f t="shared" si="2"/>
        <v>0</v>
      </c>
      <c r="T41" s="14">
        <f t="shared" si="6"/>
        <v>19532320.66</v>
      </c>
      <c r="U41" s="14">
        <f>IF(AND(A41&gt;Drivers!B19,A41&lt;=(Drivers!B19+Drivers!B20)),Summary!B31*D41,0)</f>
        <v>1105782.015</v>
      </c>
      <c r="V41" s="14">
        <f>IF(A41&lt;=(Drivers!B19+Drivers!B20),(T41+U41/2)*Drivers!B36/12,T41*Drivers!B36/12)</f>
        <v>192483.2784</v>
      </c>
      <c r="W41" s="14">
        <f>IF(A41&gt;(Drivers!B19+Drivers!B20),MIN(T41,MAX(0,Summary!B32/12-V41)),0)</f>
        <v>0</v>
      </c>
      <c r="X41" s="14">
        <f>IF(A41=(Drivers!B19+1),Summary!B31*Drivers!B38,0)</f>
        <v>0</v>
      </c>
      <c r="Y41" s="14">
        <f t="shared" si="3"/>
        <v>20638102.67</v>
      </c>
      <c r="Z41" s="14">
        <f t="shared" si="4"/>
        <v>-7082026.219</v>
      </c>
      <c r="AA41" s="14">
        <f t="shared" si="7"/>
        <v>-131882731.7</v>
      </c>
      <c r="AB41" s="14">
        <f t="shared" si="5"/>
        <v>-7995324.956</v>
      </c>
      <c r="AC41" s="14">
        <f>(E41+F41+G41+H41)*Drivers!B45</f>
        <v>1190779.135</v>
      </c>
      <c r="AD41" s="14">
        <f>IF(A41&lt;=Summary!B18,AB41+IF(A41=Summary!B18,Summary!B40,0),0)</f>
        <v>-7995324.956</v>
      </c>
      <c r="AE41" s="14">
        <f>IF(A41&lt;=Summary!B18,Z41+IF(A41=Summary!B18,Summary!B40-Y41,0),0)</f>
        <v>-7082026.219</v>
      </c>
      <c r="AF41" s="14">
        <f>AD41-IF(A41=0,Drivers!B44,0)</f>
        <v>-7995324.956</v>
      </c>
      <c r="AG41" s="14">
        <f t="shared" si="8"/>
        <v>-150902042.8</v>
      </c>
    </row>
    <row r="42">
      <c r="A42" s="2">
        <v>40.0</v>
      </c>
      <c r="B42" s="15">
        <f>EDATE(Setup!B2,A42)</f>
        <v>47497</v>
      </c>
      <c r="C42" s="2" t="str">
        <f>IF(A42=0,"T0",IF(A42&lt;=Drivers!B19,"Preconstruction",IF(A42&lt;=(Drivers!B19+Drivers!B20),"Construction","Trading")))</f>
        <v>Construction</v>
      </c>
      <c r="D42" s="12">
        <f t="array" ref="D42">IF(AND(A42&gt;Drivers!B19,A42&lt;=(Drivers!B19+Drivers!B20)),SIN(PI()*(A42-Drivers!B19-0.5)/Drivers!B20)/SUMPRODUCT(SIN(PI()*(SEQUENCE(Drivers!B20,1)-0.5)/Drivers!B20)),0)</f>
        <v>0.0368336085</v>
      </c>
      <c r="E42" s="14">
        <f>(Summary!B10+Summary!B12)*D42*(1+Drivers!B21)^(A42/12)</f>
        <v>5544529.586</v>
      </c>
      <c r="F42" s="14">
        <f>IF(AND(A42&gt;0,A42&lt;=Drivers!B19),Summary!B11*Drivers!B40/Drivers!B19*(1+Drivers!B21)^(A42/12),Summary!B11*(1-Drivers!B40 )*D42*(1+Drivers!B21)^(A42/12))</f>
        <v>333147.7005</v>
      </c>
      <c r="G42" s="14">
        <f>IF(AND(A42&gt;0,A42&lt;=2),Drivers!B16/2,0)</f>
        <v>0</v>
      </c>
      <c r="H42" s="14">
        <f>IF(A42=(Drivers!B19+Drivers!B20),Drivers!B17*(1+Drivers!B21)^(A42/12),0)</f>
        <v>0</v>
      </c>
      <c r="I42" s="14">
        <f>IF(AND(A42&gt;0,A42&lt;=(Drivers!B19+Drivers!B20)),Drivers!B18*(1+Drivers!B23)^(A42/12),0)</f>
        <v>56983.32698</v>
      </c>
      <c r="J42" s="14">
        <f t="shared" si="1"/>
        <v>5934660.614</v>
      </c>
      <c r="K42" s="12">
        <f>IF(A42&gt;(Drivers!B19+Drivers!B20),MIN(1,0.5+0.5*(A42-(Drivers!B19+Drivers!B20))/Drivers!B39),0)</f>
        <v>0</v>
      </c>
      <c r="L42" s="14">
        <f>Drivers!B2*(B42-B41)*Drivers!B24*(1+Drivers!B22)^(A42/12)*Drivers!B25*K42</f>
        <v>0</v>
      </c>
      <c r="M42" s="14">
        <f>L42*Drivers!B26</f>
        <v>0</v>
      </c>
      <c r="N42" s="14">
        <f>(L42+M42)*Drivers!B27</f>
        <v>0</v>
      </c>
      <c r="O42" s="14">
        <f>IF(A42&gt;(Drivers!B19+Drivers!B20),Drivers!B28/12*(1+Drivers!B23)^(A42/12),0)</f>
        <v>0</v>
      </c>
      <c r="P42" s="14">
        <f>(L42+M42)*Drivers!B29</f>
        <v>0</v>
      </c>
      <c r="Q42" s="14">
        <f>Drivers!B3*Drivers!B30*(1+Drivers!B22)^(A42/12)*Drivers!B31*(1-Drivers!B32 )*K42</f>
        <v>0</v>
      </c>
      <c r="R42" s="14">
        <f>IF(A42&gt;(Drivers!B19+Drivers!B20),Drivers!B33/12*(1+Drivers!B23)^(A42/12),0)</f>
        <v>0</v>
      </c>
      <c r="S42" s="14">
        <f t="shared" si="2"/>
        <v>0</v>
      </c>
      <c r="T42" s="14">
        <f t="shared" si="6"/>
        <v>20638102.67</v>
      </c>
      <c r="U42" s="14">
        <f>IF(AND(A42&gt;Drivers!B19,A42&lt;=(Drivers!B19+Drivers!B20)),Summary!B31*D42,0)</f>
        <v>814753.9604</v>
      </c>
      <c r="V42" s="14">
        <f>IF(A42&lt;=(Drivers!B19+Drivers!B20),(T42+U42/2)*Drivers!B36/12,T42*Drivers!B36/12)</f>
        <v>201685.8467</v>
      </c>
      <c r="W42" s="14">
        <f>IF(A42&gt;(Drivers!B19+Drivers!B20),MIN(T42,MAX(0,Summary!B32/12-V42)),0)</f>
        <v>0</v>
      </c>
      <c r="X42" s="14">
        <f>IF(A42=(Drivers!B19+1),Summary!B31*Drivers!B38,0)</f>
        <v>0</v>
      </c>
      <c r="Y42" s="14">
        <f t="shared" si="3"/>
        <v>21452856.63</v>
      </c>
      <c r="Z42" s="14">
        <f t="shared" si="4"/>
        <v>-5321592.5</v>
      </c>
      <c r="AA42" s="14">
        <f t="shared" si="7"/>
        <v>-137204324.2</v>
      </c>
      <c r="AB42" s="14">
        <f t="shared" si="5"/>
        <v>-5934660.614</v>
      </c>
      <c r="AC42" s="14">
        <f>(E42+F42+G42+H42)*Drivers!B45</f>
        <v>881651.593</v>
      </c>
      <c r="AD42" s="14">
        <f>IF(A42&lt;=Summary!B18,AB42+IF(A42=Summary!B18,Summary!B40,0),0)</f>
        <v>-5934660.614</v>
      </c>
      <c r="AE42" s="14">
        <f>IF(A42&lt;=Summary!B18,Z42+IF(A42=Summary!B18,Summary!B40-Y42,0),0)</f>
        <v>-5321592.5</v>
      </c>
      <c r="AF42" s="14">
        <f>AD42-IF(A42=0,Drivers!B44,0)</f>
        <v>-5934660.614</v>
      </c>
      <c r="AG42" s="14">
        <f t="shared" si="8"/>
        <v>-156836703.4</v>
      </c>
    </row>
    <row r="43">
      <c r="A43" s="2">
        <v>41.0</v>
      </c>
      <c r="B43" s="15">
        <f>EDATE(Setup!B2,A43)</f>
        <v>47528</v>
      </c>
      <c r="C43" s="2" t="str">
        <f>IF(A43=0,"T0",IF(A43&lt;=Drivers!B19,"Preconstruction",IF(A43&lt;=(Drivers!B19+Drivers!B20),"Construction","Trading")))</f>
        <v>Construction</v>
      </c>
      <c r="D43" s="12">
        <f t="array" ref="D43">IF(AND(A43&gt;Drivers!B19,A43&lt;=(Drivers!B19+Drivers!B20)),SIN(PI()*(A43-Drivers!B19-0.5)/Drivers!B20)/SUMPRODUCT(SIN(PI()*(SEQUENCE(Drivers!B20,1)-0.5)/Drivers!B20)),0)</f>
        <v>0.02255756611</v>
      </c>
      <c r="E43" s="14">
        <f>(Summary!B10+Summary!B12)*D43*(1+Drivers!B21)^(A43/12)</f>
        <v>3412098.018</v>
      </c>
      <c r="F43" s="14">
        <f>IF(AND(A43&gt;0,A43&lt;=Drivers!B19),Summary!B11*Drivers!B40/Drivers!B19*(1+Drivers!B21)^(A43/12),Summary!B11*(1-Drivers!B40 )*D43*(1+Drivers!B21)^(A43/12))</f>
        <v>205018.7651</v>
      </c>
      <c r="G43" s="14">
        <f>IF(AND(A43&gt;0,A43&lt;=2),Drivers!B16/2,0)</f>
        <v>0</v>
      </c>
      <c r="H43" s="14">
        <f>IF(A43=(Drivers!B19+Drivers!B20),Drivers!B17*(1+Drivers!B21)^(A43/12),0)</f>
        <v>0</v>
      </c>
      <c r="I43" s="14">
        <f>IF(AND(A43&gt;0,A43&lt;=(Drivers!B19+Drivers!B20)),Drivers!B18*(1+Drivers!B23)^(A43/12),0)</f>
        <v>57169.87557</v>
      </c>
      <c r="J43" s="14">
        <f t="shared" si="1"/>
        <v>3674286.659</v>
      </c>
      <c r="K43" s="12">
        <f>IF(A43&gt;(Drivers!B19+Drivers!B20),MIN(1,0.5+0.5*(A43-(Drivers!B19+Drivers!B20))/Drivers!B39),0)</f>
        <v>0</v>
      </c>
      <c r="L43" s="14">
        <f>Drivers!B2*(B43-B42)*Drivers!B24*(1+Drivers!B22)^(A43/12)*Drivers!B25*K43</f>
        <v>0</v>
      </c>
      <c r="M43" s="14">
        <f>L43*Drivers!B26</f>
        <v>0</v>
      </c>
      <c r="N43" s="14">
        <f>(L43+M43)*Drivers!B27</f>
        <v>0</v>
      </c>
      <c r="O43" s="14">
        <f>IF(A43&gt;(Drivers!B19+Drivers!B20),Drivers!B28/12*(1+Drivers!B23)^(A43/12),0)</f>
        <v>0</v>
      </c>
      <c r="P43" s="14">
        <f>(L43+M43)*Drivers!B29</f>
        <v>0</v>
      </c>
      <c r="Q43" s="14">
        <f>Drivers!B3*Drivers!B30*(1+Drivers!B22)^(A43/12)*Drivers!B31*(1-Drivers!B32 )*K43</f>
        <v>0</v>
      </c>
      <c r="R43" s="14">
        <f>IF(A43&gt;(Drivers!B19+Drivers!B20),Drivers!B33/12*(1+Drivers!B23)^(A43/12),0)</f>
        <v>0</v>
      </c>
      <c r="S43" s="14">
        <f t="shared" si="2"/>
        <v>0</v>
      </c>
      <c r="T43" s="14">
        <f t="shared" si="6"/>
        <v>21452856.63</v>
      </c>
      <c r="U43" s="14">
        <f>IF(AND(A43&gt;Drivers!B19,A43&lt;=(Drivers!B19+Drivers!B20)),Summary!B31*D43,0)</f>
        <v>498970.0189</v>
      </c>
      <c r="V43" s="14">
        <f>IF(A43&lt;=(Drivers!B19+Drivers!B20),(T43+U43/2)*Drivers!B36/12,T43*Drivers!B36/12)</f>
        <v>207980.7741</v>
      </c>
      <c r="W43" s="14">
        <f>IF(A43&gt;(Drivers!B19+Drivers!B20),MIN(T43,MAX(0,Summary!B32/12-V43)),0)</f>
        <v>0</v>
      </c>
      <c r="X43" s="14">
        <f>IF(A43=(Drivers!B19+1),Summary!B31*Drivers!B38,0)</f>
        <v>0</v>
      </c>
      <c r="Y43" s="14">
        <f t="shared" si="3"/>
        <v>21951826.65</v>
      </c>
      <c r="Z43" s="14">
        <f t="shared" si="4"/>
        <v>-3383297.414</v>
      </c>
      <c r="AA43" s="14">
        <f t="shared" si="7"/>
        <v>-140587621.6</v>
      </c>
      <c r="AB43" s="14">
        <f t="shared" si="5"/>
        <v>-3674286.659</v>
      </c>
      <c r="AC43" s="14">
        <f>(E43+F43+G43+H43)*Drivers!B45</f>
        <v>542567.5175</v>
      </c>
      <c r="AD43" s="14">
        <f>IF(A43&lt;=Summary!B18,AB43+IF(A43=Summary!B18,Summary!B40,0),0)</f>
        <v>-3674286.659</v>
      </c>
      <c r="AE43" s="14">
        <f>IF(A43&lt;=Summary!B18,Z43+IF(A43=Summary!B18,Summary!B40-Y43,0),0)</f>
        <v>-3383297.414</v>
      </c>
      <c r="AF43" s="14">
        <f>AD43-IF(A43=0,Drivers!B44,0)</f>
        <v>-3674286.659</v>
      </c>
      <c r="AG43" s="14">
        <f t="shared" si="8"/>
        <v>-160510990</v>
      </c>
    </row>
    <row r="44">
      <c r="A44" s="2">
        <v>42.0</v>
      </c>
      <c r="B44" s="15">
        <f>EDATE(Setup!B2,A44)</f>
        <v>47556</v>
      </c>
      <c r="C44" s="2" t="str">
        <f>IF(A44=0,"T0",IF(A44&lt;=Drivers!B19,"Preconstruction",IF(A44&lt;=(Drivers!B19+Drivers!B20),"Construction","Trading")))</f>
        <v>Construction</v>
      </c>
      <c r="D44" s="12">
        <f t="array" ref="D44">IF(AND(A44&gt;Drivers!B19,A44&lt;=(Drivers!B19+Drivers!B20)),SIN(PI()*(A44-Drivers!B19-0.5)/Drivers!B20)/SUMPRODUCT(SIN(PI()*(SEQUENCE(Drivers!B20,1)-0.5)/Drivers!B20)),0)</f>
        <v>0.007596123494</v>
      </c>
      <c r="E44" s="14">
        <f>(Summary!B10+Summary!B12)*D44*(1+Drivers!B21)^(A44/12)</f>
        <v>1154596.132</v>
      </c>
      <c r="F44" s="14">
        <f>IF(AND(A44&gt;0,A44&lt;=Drivers!B19),Summary!B11*Drivers!B40/Drivers!B19*(1+Drivers!B21)^(A44/12),Summary!B11*(1-Drivers!B40 )*D44*(1+Drivers!B21)^(A44/12))</f>
        <v>69374.87491</v>
      </c>
      <c r="G44" s="14">
        <f>IF(AND(A44&gt;0,A44&lt;=2),Drivers!B16/2,0)</f>
        <v>0</v>
      </c>
      <c r="H44" s="14">
        <f>IF(A44=(Drivers!B19+Drivers!B20),Drivers!B17*(1+Drivers!B21)^(A44/12),0)</f>
        <v>2452452.046</v>
      </c>
      <c r="I44" s="14">
        <f>IF(AND(A44&gt;0,A44&lt;=(Drivers!B19+Drivers!B20)),Drivers!B18*(1+Drivers!B23)^(A44/12),0)</f>
        <v>57357.03486</v>
      </c>
      <c r="J44" s="14">
        <f t="shared" si="1"/>
        <v>3733780.088</v>
      </c>
      <c r="K44" s="12">
        <f>IF(A44&gt;(Drivers!B19+Drivers!B20),MIN(1,0.5+0.5*(A44-(Drivers!B19+Drivers!B20))/Drivers!B39),0)</f>
        <v>0</v>
      </c>
      <c r="L44" s="14">
        <f>Drivers!B2*(B44-B43)*Drivers!B24*(1+Drivers!B22)^(A44/12)*Drivers!B25*K44</f>
        <v>0</v>
      </c>
      <c r="M44" s="14">
        <f>L44*Drivers!B26</f>
        <v>0</v>
      </c>
      <c r="N44" s="14">
        <f>(L44+M44)*Drivers!B27</f>
        <v>0</v>
      </c>
      <c r="O44" s="14">
        <f>IF(A44&gt;(Drivers!B19+Drivers!B20),Drivers!B28/12*(1+Drivers!B23)^(A44/12),0)</f>
        <v>0</v>
      </c>
      <c r="P44" s="14">
        <f>(L44+M44)*Drivers!B29</f>
        <v>0</v>
      </c>
      <c r="Q44" s="14">
        <f>Drivers!B3*Drivers!B30*(1+Drivers!B22)^(A44/12)*Drivers!B31*(1-Drivers!B32 )*K44</f>
        <v>0</v>
      </c>
      <c r="R44" s="14">
        <f>IF(A44&gt;(Drivers!B19+Drivers!B20),Drivers!B33/12*(1+Drivers!B23)^(A44/12),0)</f>
        <v>0</v>
      </c>
      <c r="S44" s="14">
        <f t="shared" si="2"/>
        <v>0</v>
      </c>
      <c r="T44" s="14">
        <f t="shared" si="6"/>
        <v>21951826.65</v>
      </c>
      <c r="U44" s="14">
        <f>IF(AND(A44&gt;Drivers!B19,A44&lt;=(Drivers!B19+Drivers!B20)),Summary!B31*D44,0)</f>
        <v>168025.1258</v>
      </c>
      <c r="V44" s="14">
        <f>IF(A44&lt;=(Drivers!B19+Drivers!B20),(T44+U44/2)*Drivers!B36/12,T44*Drivers!B36/12)</f>
        <v>211176.7925</v>
      </c>
      <c r="W44" s="14">
        <f>IF(A44&gt;(Drivers!B19+Drivers!B20),MIN(T44,MAX(0,Summary!B32/12-V44)),0)</f>
        <v>0</v>
      </c>
      <c r="X44" s="14">
        <f>IF(A44=(Drivers!B19+1),Summary!B31*Drivers!B38,0)</f>
        <v>0</v>
      </c>
      <c r="Y44" s="14">
        <f t="shared" si="3"/>
        <v>22119851.78</v>
      </c>
      <c r="Z44" s="14">
        <f t="shared" si="4"/>
        <v>-3776931.755</v>
      </c>
      <c r="AA44" s="14">
        <f t="shared" si="7"/>
        <v>-144364553.3</v>
      </c>
      <c r="AB44" s="14">
        <f t="shared" si="5"/>
        <v>-3733780.088</v>
      </c>
      <c r="AC44" s="14">
        <f>(E44+F44+G44+H44)*Drivers!B45</f>
        <v>551463.4579</v>
      </c>
      <c r="AD44" s="14">
        <f>IF(A44&lt;=Summary!B18,AB44+IF(A44=Summary!B18,Summary!B40,0),0)</f>
        <v>-3733780.088</v>
      </c>
      <c r="AE44" s="14">
        <f>IF(A44&lt;=Summary!B18,Z44+IF(A44=Summary!B18,Summary!B40-Y44,0),0)</f>
        <v>-3776931.755</v>
      </c>
      <c r="AF44" s="14">
        <f>AD44-IF(A44=0,Drivers!B44,0)</f>
        <v>-3733780.088</v>
      </c>
      <c r="AG44" s="14">
        <f t="shared" si="8"/>
        <v>-164244770.1</v>
      </c>
    </row>
    <row r="45">
      <c r="A45" s="2">
        <v>43.0</v>
      </c>
      <c r="B45" s="15">
        <f>EDATE(Setup!B2,A45)</f>
        <v>47587</v>
      </c>
      <c r="C45" s="2" t="str">
        <f>IF(A45=0,"T0",IF(A45&lt;=Drivers!B19,"Preconstruction",IF(A45&lt;=(Drivers!B19+Drivers!B20),"Construction","Trading")))</f>
        <v>Trading</v>
      </c>
      <c r="D45" s="12">
        <f t="array" ref="D45">IF(AND(A45&gt;Drivers!B19,A45&lt;=(Drivers!B19+Drivers!B20)),SIN(PI()*(A45-Drivers!B19-0.5)/Drivers!B20)/SUMPRODUCT(SIN(PI()*(SEQUENCE(Drivers!B20,1)-0.5)/Drivers!B20)),0)</f>
        <v>0</v>
      </c>
      <c r="E45" s="14">
        <f>(Summary!B10+Summary!B12)*D45*(1+Drivers!B21)^(A45/12)</f>
        <v>0</v>
      </c>
      <c r="F45" s="14">
        <f>IF(AND(A45&gt;0,A45&lt;=Drivers!B19),Summary!B11*Drivers!B40/Drivers!B19*(1+Drivers!B21)^(A45/12),Summary!B11*(1-Drivers!B40 )*D45*(1+Drivers!B21)^(A45/12))</f>
        <v>0</v>
      </c>
      <c r="G45" s="14">
        <f>IF(AND(A45&gt;0,A45&lt;=2),Drivers!B16/2,0)</f>
        <v>0</v>
      </c>
      <c r="H45" s="14">
        <f>IF(A45=(Drivers!B19+Drivers!B20),Drivers!B17*(1+Drivers!B21)^(A45/12),0)</f>
        <v>0</v>
      </c>
      <c r="I45" s="14">
        <f>IF(AND(A45&gt;0,A45&lt;=(Drivers!B19+Drivers!B20)),Drivers!B18*(1+Drivers!B23)^(A45/12),0)</f>
        <v>0</v>
      </c>
      <c r="J45" s="14">
        <f t="shared" si="1"/>
        <v>0</v>
      </c>
      <c r="K45" s="12">
        <f>IF(A45&gt;(Drivers!B19+Drivers!B20),MIN(1,0.5+0.5*(A45-(Drivers!B19+Drivers!B20))/Drivers!B39),0)</f>
        <v>0.5416666667</v>
      </c>
      <c r="L45" s="14">
        <f>Drivers!B2*(B45-B44)*Drivers!B24*(1+Drivers!B22)^(A45/12)*Drivers!B25*K45</f>
        <v>521787.5363</v>
      </c>
      <c r="M45" s="14">
        <f>L45*Drivers!B26</f>
        <v>104357.5073</v>
      </c>
      <c r="N45" s="14">
        <f>(L45+M45)*Drivers!B27</f>
        <v>219150.7652</v>
      </c>
      <c r="O45" s="14">
        <f>IF(A45&gt;(Drivers!B19+Drivers!B20),Drivers!B28/12*(1+Drivers!B23)^(A45/12),0)</f>
        <v>383632.0458</v>
      </c>
      <c r="P45" s="14">
        <f>(L45+M45)*Drivers!B29</f>
        <v>25045.80174</v>
      </c>
      <c r="Q45" s="14">
        <f>Drivers!B3*Drivers!B30*(1+Drivers!B22)^(A45/12)*Drivers!B31*(1-Drivers!B32 )*K45</f>
        <v>39741.88224</v>
      </c>
      <c r="R45" s="14">
        <f>IF(A45&gt;(Drivers!B19+Drivers!B20),Drivers!B33/12*(1+Drivers!B23)^(A45/12),0)</f>
        <v>57544.80687</v>
      </c>
      <c r="S45" s="14">
        <f t="shared" si="2"/>
        <v>-19486.49386</v>
      </c>
      <c r="T45" s="14">
        <f t="shared" si="6"/>
        <v>22119851.78</v>
      </c>
      <c r="U45" s="14">
        <f>IF(AND(A45&gt;Drivers!B19,A45&lt;=(Drivers!B19+Drivers!B20)),Summary!B31*D45,0)</f>
        <v>0</v>
      </c>
      <c r="V45" s="14">
        <f>IF(A45&lt;=(Drivers!B19+Drivers!B20),(T45+U45/2)*Drivers!B36/12,T45*Drivers!B36/12)</f>
        <v>211981.9129</v>
      </c>
      <c r="W45" s="14">
        <f>IF(A45&gt;(Drivers!B19+Drivers!B20),MIN(T45,MAX(0,Summary!B32/12-V45)),0)</f>
        <v>46419.94156</v>
      </c>
      <c r="X45" s="14">
        <f>IF(A45=(Drivers!B19+1),Summary!B31*Drivers!B38,0)</f>
        <v>0</v>
      </c>
      <c r="Y45" s="14">
        <f t="shared" si="3"/>
        <v>22073431.83</v>
      </c>
      <c r="Z45" s="14">
        <f t="shared" si="4"/>
        <v>-277888.3483</v>
      </c>
      <c r="AA45" s="14">
        <f t="shared" si="7"/>
        <v>-144642441.7</v>
      </c>
      <c r="AB45" s="14">
        <f t="shared" si="5"/>
        <v>-19486.49386</v>
      </c>
      <c r="AC45" s="14">
        <f>(E45+F45+G45+H45)*Drivers!B45</f>
        <v>0</v>
      </c>
      <c r="AD45" s="14">
        <f>IF(A45&lt;=Summary!B18,AB45+IF(A45=Summary!B18,Summary!B40,0),0)</f>
        <v>-19486.49386</v>
      </c>
      <c r="AE45" s="14">
        <f>IF(A45&lt;=Summary!B18,Z45+IF(A45=Summary!B18,Summary!B40-Y45,0),0)</f>
        <v>-277888.3483</v>
      </c>
      <c r="AF45" s="14">
        <f>AD45-IF(A45=0,Drivers!B44,0)</f>
        <v>-19486.49386</v>
      </c>
      <c r="AG45" s="14">
        <f t="shared" si="8"/>
        <v>-164264256.6</v>
      </c>
    </row>
    <row r="46">
      <c r="A46" s="2">
        <v>44.0</v>
      </c>
      <c r="B46" s="15">
        <f>EDATE(Setup!B2,A46)</f>
        <v>47617</v>
      </c>
      <c r="C46" s="2" t="str">
        <f>IF(A46=0,"T0",IF(A46&lt;=Drivers!B19,"Preconstruction",IF(A46&lt;=(Drivers!B19+Drivers!B20),"Construction","Trading")))</f>
        <v>Trading</v>
      </c>
      <c r="D46" s="12">
        <f t="array" ref="D46">IF(AND(A46&gt;Drivers!B19,A46&lt;=(Drivers!B19+Drivers!B20)),SIN(PI()*(A46-Drivers!B19-0.5)/Drivers!B20)/SUMPRODUCT(SIN(PI()*(SEQUENCE(Drivers!B20,1)-0.5)/Drivers!B20)),0)</f>
        <v>0</v>
      </c>
      <c r="E46" s="14">
        <f>(Summary!B10+Summary!B12)*D46*(1+Drivers!B21)^(A46/12)</f>
        <v>0</v>
      </c>
      <c r="F46" s="14">
        <f>IF(AND(A46&gt;0,A46&lt;=Drivers!B19),Summary!B11*Drivers!B40/Drivers!B19*(1+Drivers!B21)^(A46/12),Summary!B11*(1-Drivers!B40 )*D46*(1+Drivers!B21)^(A46/12))</f>
        <v>0</v>
      </c>
      <c r="G46" s="14">
        <f>IF(AND(A46&gt;0,A46&lt;=2),Drivers!B16/2,0)</f>
        <v>0</v>
      </c>
      <c r="H46" s="14">
        <f>IF(A46=(Drivers!B19+Drivers!B20),Drivers!B17*(1+Drivers!B21)^(A46/12),0)</f>
        <v>0</v>
      </c>
      <c r="I46" s="14">
        <f>IF(AND(A46&gt;0,A46&lt;=(Drivers!B19+Drivers!B20)),Drivers!B18*(1+Drivers!B23)^(A46/12),0)</f>
        <v>0</v>
      </c>
      <c r="J46" s="14">
        <f t="shared" si="1"/>
        <v>0</v>
      </c>
      <c r="K46" s="12">
        <f>IF(A46&gt;(Drivers!B19+Drivers!B20),MIN(1,0.5+0.5*(A46-(Drivers!B19+Drivers!B20))/Drivers!B39),0)</f>
        <v>0.5833333333</v>
      </c>
      <c r="L46" s="14">
        <f>Drivers!B2*(B46-B45)*Drivers!B24*(1+Drivers!B22)^(A46/12)*Drivers!B25*K46</f>
        <v>545578.6794</v>
      </c>
      <c r="M46" s="14">
        <f>L46*Drivers!B26</f>
        <v>109115.7359</v>
      </c>
      <c r="N46" s="14">
        <f>(L46+M46)*Drivers!B27</f>
        <v>229143.0454</v>
      </c>
      <c r="O46" s="14">
        <f>IF(A46&gt;(Drivers!B19+Drivers!B20),Drivers!B28/12*(1+Drivers!B23)^(A46/12),0)</f>
        <v>384887.9573</v>
      </c>
      <c r="P46" s="14">
        <f>(L46+M46)*Drivers!B29</f>
        <v>26187.77661</v>
      </c>
      <c r="Q46" s="14">
        <f>Drivers!B3*Drivers!B30*(1+Drivers!B22)^(A46/12)*Drivers!B31*(1-Drivers!B32 )*K46</f>
        <v>42939.06273</v>
      </c>
      <c r="R46" s="14">
        <f>IF(A46&gt;(Drivers!B19+Drivers!B20),Drivers!B33/12*(1+Drivers!B23)^(A46/12),0)</f>
        <v>57733.19359</v>
      </c>
      <c r="S46" s="14">
        <f t="shared" si="2"/>
        <v>-318.4947846</v>
      </c>
      <c r="T46" s="14">
        <f t="shared" si="6"/>
        <v>22073431.83</v>
      </c>
      <c r="U46" s="14">
        <f>IF(AND(A46&gt;Drivers!B19,A46&lt;=(Drivers!B19+Drivers!B20)),Summary!B31*D46,0)</f>
        <v>0</v>
      </c>
      <c r="V46" s="14">
        <f>IF(A46&lt;=(Drivers!B19+Drivers!B20),(T46+U46/2)*Drivers!B36/12,T46*Drivers!B36/12)</f>
        <v>211537.0551</v>
      </c>
      <c r="W46" s="14">
        <f>IF(A46&gt;(Drivers!B19+Drivers!B20),MIN(T46,MAX(0,Summary!B32/12-V46)),0)</f>
        <v>46864.79933</v>
      </c>
      <c r="X46" s="14">
        <f>IF(A46=(Drivers!B19+1),Summary!B31*Drivers!B38,0)</f>
        <v>0</v>
      </c>
      <c r="Y46" s="14">
        <f t="shared" si="3"/>
        <v>22026567.04</v>
      </c>
      <c r="Z46" s="14">
        <f t="shared" si="4"/>
        <v>-258720.3492</v>
      </c>
      <c r="AA46" s="14">
        <f t="shared" si="7"/>
        <v>-144901162</v>
      </c>
      <c r="AB46" s="14">
        <f t="shared" si="5"/>
        <v>-318.4947846</v>
      </c>
      <c r="AC46" s="14">
        <f>(E46+F46+G46+H46)*Drivers!B45</f>
        <v>0</v>
      </c>
      <c r="AD46" s="14">
        <f>IF(A46&lt;=Summary!B18,AB46+IF(A46=Summary!B18,Summary!B40,0),0)</f>
        <v>-318.4947846</v>
      </c>
      <c r="AE46" s="14">
        <f>IF(A46&lt;=Summary!B18,Z46+IF(A46=Summary!B18,Summary!B40-Y46,0),0)</f>
        <v>-258720.3492</v>
      </c>
      <c r="AF46" s="14">
        <f>AD46-IF(A46=0,Drivers!B44,0)</f>
        <v>-318.4947846</v>
      </c>
      <c r="AG46" s="14">
        <f t="shared" si="8"/>
        <v>-164264575.1</v>
      </c>
    </row>
    <row r="47">
      <c r="A47" s="2">
        <v>45.0</v>
      </c>
      <c r="B47" s="15">
        <f>EDATE(Setup!B2,A47)</f>
        <v>47648</v>
      </c>
      <c r="C47" s="2" t="str">
        <f>IF(A47=0,"T0",IF(A47&lt;=Drivers!B19,"Preconstruction",IF(A47&lt;=(Drivers!B19+Drivers!B20),"Construction","Trading")))</f>
        <v>Trading</v>
      </c>
      <c r="D47" s="12">
        <f t="array" ref="D47">IF(AND(A47&gt;Drivers!B19,A47&lt;=(Drivers!B19+Drivers!B20)),SIN(PI()*(A47-Drivers!B19-0.5)/Drivers!B20)/SUMPRODUCT(SIN(PI()*(SEQUENCE(Drivers!B20,1)-0.5)/Drivers!B20)),0)</f>
        <v>0</v>
      </c>
      <c r="E47" s="14">
        <f>(Summary!B10+Summary!B12)*D47*(1+Drivers!B21)^(A47/12)</f>
        <v>0</v>
      </c>
      <c r="F47" s="14">
        <f>IF(AND(A47&gt;0,A47&lt;=Drivers!B19),Summary!B11*Drivers!B40/Drivers!B19*(1+Drivers!B21)^(A47/12),Summary!B11*(1-Drivers!B40 )*D47*(1+Drivers!B21)^(A47/12))</f>
        <v>0</v>
      </c>
      <c r="G47" s="14">
        <f>IF(AND(A47&gt;0,A47&lt;=2),Drivers!B16/2,0)</f>
        <v>0</v>
      </c>
      <c r="H47" s="14">
        <f>IF(A47=(Drivers!B19+Drivers!B20),Drivers!B17*(1+Drivers!B21)^(A47/12),0)</f>
        <v>0</v>
      </c>
      <c r="I47" s="14">
        <f>IF(AND(A47&gt;0,A47&lt;=(Drivers!B19+Drivers!B20)),Drivers!B18*(1+Drivers!B23)^(A47/12),0)</f>
        <v>0</v>
      </c>
      <c r="J47" s="14">
        <f t="shared" si="1"/>
        <v>0</v>
      </c>
      <c r="K47" s="12">
        <f>IF(A47&gt;(Drivers!B19+Drivers!B20),MIN(1,0.5+0.5*(A47-(Drivers!B19+Drivers!B20))/Drivers!B39),0)</f>
        <v>0.625</v>
      </c>
      <c r="L47" s="14">
        <f>Drivers!B2*(B47-B46)*Drivers!B24*(1+Drivers!B22)^(A47/12)*Drivers!B25*K47</f>
        <v>606010.9866</v>
      </c>
      <c r="M47" s="14">
        <f>L47*Drivers!B26</f>
        <v>121202.1973</v>
      </c>
      <c r="N47" s="14">
        <f>(L47+M47)*Drivers!B27</f>
        <v>254524.6144</v>
      </c>
      <c r="O47" s="14">
        <f>IF(A47&gt;(Drivers!B19+Drivers!B20),Drivers!B28/12*(1+Drivers!B23)^(A47/12),0)</f>
        <v>386147.9803</v>
      </c>
      <c r="P47" s="14">
        <f>(L47+M47)*Drivers!B29</f>
        <v>29088.52736</v>
      </c>
      <c r="Q47" s="14">
        <f>Drivers!B3*Drivers!B30*(1+Drivers!B22)^(A47/12)*Drivers!B31*(1-Drivers!B32 )*K47</f>
        <v>46156.75077</v>
      </c>
      <c r="R47" s="14">
        <f>IF(A47&gt;(Drivers!B19+Drivers!B20),Drivers!B33/12*(1+Drivers!B23)^(A47/12),0)</f>
        <v>57922.19704</v>
      </c>
      <c r="S47" s="14">
        <f t="shared" si="2"/>
        <v>45686.6156</v>
      </c>
      <c r="T47" s="14">
        <f t="shared" si="6"/>
        <v>22026567.04</v>
      </c>
      <c r="U47" s="14">
        <f>IF(AND(A47&gt;Drivers!B19,A47&lt;=(Drivers!B19+Drivers!B20)),Summary!B31*D47,0)</f>
        <v>0</v>
      </c>
      <c r="V47" s="14">
        <f>IF(A47&lt;=(Drivers!B19+Drivers!B20),(T47+U47/2)*Drivers!B36/12,T47*Drivers!B36/12)</f>
        <v>211087.9341</v>
      </c>
      <c r="W47" s="14">
        <f>IF(A47&gt;(Drivers!B19+Drivers!B20),MIN(T47,MAX(0,Summary!B32/12-V47)),0)</f>
        <v>47313.92033</v>
      </c>
      <c r="X47" s="14">
        <f>IF(A47=(Drivers!B19+1),Summary!B31*Drivers!B38,0)</f>
        <v>0</v>
      </c>
      <c r="Y47" s="14">
        <f t="shared" si="3"/>
        <v>21979253.11</v>
      </c>
      <c r="Z47" s="14">
        <f t="shared" si="4"/>
        <v>-212715.2388</v>
      </c>
      <c r="AA47" s="14">
        <f t="shared" si="7"/>
        <v>-145113877.3</v>
      </c>
      <c r="AB47" s="14">
        <f t="shared" si="5"/>
        <v>45686.6156</v>
      </c>
      <c r="AC47" s="14">
        <f>(E47+F47+G47+H47)*Drivers!B45</f>
        <v>0</v>
      </c>
      <c r="AD47" s="14">
        <f>IF(A47&lt;=Summary!B18,AB47+IF(A47=Summary!B18,Summary!B40,0),0)</f>
        <v>45686.6156</v>
      </c>
      <c r="AE47" s="14">
        <f>IF(A47&lt;=Summary!B18,Z47+IF(A47=Summary!B18,Summary!B40-Y47,0),0)</f>
        <v>-212715.2388</v>
      </c>
      <c r="AF47" s="14">
        <f>AD47-IF(A47=0,Drivers!B44,0)</f>
        <v>45686.6156</v>
      </c>
      <c r="AG47" s="14">
        <f t="shared" si="8"/>
        <v>-164218888.5</v>
      </c>
    </row>
    <row r="48">
      <c r="A48" s="2">
        <v>46.0</v>
      </c>
      <c r="B48" s="15">
        <f>EDATE(Setup!B2,A48)</f>
        <v>47678</v>
      </c>
      <c r="C48" s="2" t="str">
        <f>IF(A48=0,"T0",IF(A48&lt;=Drivers!B19,"Preconstruction",IF(A48&lt;=(Drivers!B19+Drivers!B20),"Construction","Trading")))</f>
        <v>Trading</v>
      </c>
      <c r="D48" s="12">
        <f t="array" ref="D48">IF(AND(A48&gt;Drivers!B19,A48&lt;=(Drivers!B19+Drivers!B20)),SIN(PI()*(A48-Drivers!B19-0.5)/Drivers!B20)/SUMPRODUCT(SIN(PI()*(SEQUENCE(Drivers!B20,1)-0.5)/Drivers!B20)),0)</f>
        <v>0</v>
      </c>
      <c r="E48" s="14">
        <f>(Summary!B10+Summary!B12)*D48*(1+Drivers!B21)^(A48/12)</f>
        <v>0</v>
      </c>
      <c r="F48" s="14">
        <f>IF(AND(A48&gt;0,A48&lt;=Drivers!B19),Summary!B11*Drivers!B40/Drivers!B19*(1+Drivers!B21)^(A48/12),Summary!B11*(1-Drivers!B40 )*D48*(1+Drivers!B21)^(A48/12))</f>
        <v>0</v>
      </c>
      <c r="G48" s="14">
        <f>IF(AND(A48&gt;0,A48&lt;=2),Drivers!B16/2,0)</f>
        <v>0</v>
      </c>
      <c r="H48" s="14">
        <f>IF(A48=(Drivers!B19+Drivers!B20),Drivers!B17*(1+Drivers!B21)^(A48/12),0)</f>
        <v>0</v>
      </c>
      <c r="I48" s="14">
        <f>IF(AND(A48&gt;0,A48&lt;=(Drivers!B19+Drivers!B20)),Drivers!B18*(1+Drivers!B23)^(A48/12),0)</f>
        <v>0</v>
      </c>
      <c r="J48" s="14">
        <f t="shared" si="1"/>
        <v>0</v>
      </c>
      <c r="K48" s="12">
        <f>IF(A48&gt;(Drivers!B19+Drivers!B20),MIN(1,0.5+0.5*(A48-(Drivers!B19+Drivers!B20))/Drivers!B39),0)</f>
        <v>0.6666666667</v>
      </c>
      <c r="L48" s="14">
        <f>Drivers!B2*(B48-B47)*Drivers!B24*(1+Drivers!B22)^(A48/12)*Drivers!B25*K48</f>
        <v>627607.6478</v>
      </c>
      <c r="M48" s="14">
        <f>L48*Drivers!B26</f>
        <v>125521.5296</v>
      </c>
      <c r="N48" s="14">
        <f>(L48+M48)*Drivers!B27</f>
        <v>263595.2121</v>
      </c>
      <c r="O48" s="14">
        <f>IF(A48&gt;(Drivers!B19+Drivers!B20),Drivers!B28/12*(1+Drivers!B23)^(A48/12),0)</f>
        <v>387412.1283</v>
      </c>
      <c r="P48" s="14">
        <f>(L48+M48)*Drivers!B29</f>
        <v>30125.1671</v>
      </c>
      <c r="Q48" s="14">
        <f>Drivers!B3*Drivers!B30*(1+Drivers!B22)^(A48/12)*Drivers!B31*(1-Drivers!B32 )*K48</f>
        <v>49395.04636</v>
      </c>
      <c r="R48" s="14">
        <f>IF(A48&gt;(Drivers!B19+Drivers!B20),Drivers!B33/12*(1+Drivers!B23)^(A48/12),0)</f>
        <v>58111.81925</v>
      </c>
      <c r="S48" s="14">
        <f t="shared" si="2"/>
        <v>63279.89704</v>
      </c>
      <c r="T48" s="14">
        <f t="shared" si="6"/>
        <v>21979253.11</v>
      </c>
      <c r="U48" s="14">
        <f>IF(AND(A48&gt;Drivers!B19,A48&lt;=(Drivers!B19+Drivers!B20)),Summary!B31*D48,0)</f>
        <v>0</v>
      </c>
      <c r="V48" s="14">
        <f>IF(A48&lt;=(Drivers!B19+Drivers!B20),(T48+U48/2)*Drivers!B36/12,T48*Drivers!B36/12)</f>
        <v>210634.509</v>
      </c>
      <c r="W48" s="14">
        <f>IF(A48&gt;(Drivers!B19+Drivers!B20),MIN(T48,MAX(0,Summary!B32/12-V48)),0)</f>
        <v>47767.3454</v>
      </c>
      <c r="X48" s="14">
        <f>IF(A48=(Drivers!B19+1),Summary!B31*Drivers!B38,0)</f>
        <v>0</v>
      </c>
      <c r="Y48" s="14">
        <f t="shared" si="3"/>
        <v>21931485.77</v>
      </c>
      <c r="Z48" s="14">
        <f t="shared" si="4"/>
        <v>-195121.9574</v>
      </c>
      <c r="AA48" s="14">
        <f t="shared" si="7"/>
        <v>-145308999.2</v>
      </c>
      <c r="AB48" s="14">
        <f t="shared" si="5"/>
        <v>63279.89704</v>
      </c>
      <c r="AC48" s="14">
        <f>(E48+F48+G48+H48)*Drivers!B45</f>
        <v>0</v>
      </c>
      <c r="AD48" s="14">
        <f>IF(A48&lt;=Summary!B18,AB48+IF(A48=Summary!B18,Summary!B40,0),0)</f>
        <v>63279.89704</v>
      </c>
      <c r="AE48" s="14">
        <f>IF(A48&lt;=Summary!B18,Z48+IF(A48=Summary!B18,Summary!B40-Y48,0),0)</f>
        <v>-195121.9574</v>
      </c>
      <c r="AF48" s="14">
        <f>AD48-IF(A48=0,Drivers!B44,0)</f>
        <v>63279.89704</v>
      </c>
      <c r="AG48" s="14">
        <f t="shared" si="8"/>
        <v>-164155608.6</v>
      </c>
    </row>
    <row r="49">
      <c r="A49" s="2">
        <v>47.0</v>
      </c>
      <c r="B49" s="15">
        <f>EDATE(Setup!B2,A49)</f>
        <v>47709</v>
      </c>
      <c r="C49" s="2" t="str">
        <f>IF(A49=0,"T0",IF(A49&lt;=Drivers!B19,"Preconstruction",IF(A49&lt;=(Drivers!B19+Drivers!B20),"Construction","Trading")))</f>
        <v>Trading</v>
      </c>
      <c r="D49" s="12">
        <f t="array" ref="D49">IF(AND(A49&gt;Drivers!B19,A49&lt;=(Drivers!B19+Drivers!B20)),SIN(PI()*(A49-Drivers!B19-0.5)/Drivers!B20)/SUMPRODUCT(SIN(PI()*(SEQUENCE(Drivers!B20,1)-0.5)/Drivers!B20)),0)</f>
        <v>0</v>
      </c>
      <c r="E49" s="14">
        <f>(Summary!B10+Summary!B12)*D49*(1+Drivers!B21)^(A49/12)</f>
        <v>0</v>
      </c>
      <c r="F49" s="14">
        <f>IF(AND(A49&gt;0,A49&lt;=Drivers!B19),Summary!B11*Drivers!B40/Drivers!B19*(1+Drivers!B21)^(A49/12),Summary!B11*(1-Drivers!B40 )*D49*(1+Drivers!B21)^(A49/12))</f>
        <v>0</v>
      </c>
      <c r="G49" s="14">
        <f>IF(AND(A49&gt;0,A49&lt;=2),Drivers!B16/2,0)</f>
        <v>0</v>
      </c>
      <c r="H49" s="14">
        <f>IF(A49=(Drivers!B19+Drivers!B20),Drivers!B17*(1+Drivers!B21)^(A49/12),0)</f>
        <v>0</v>
      </c>
      <c r="I49" s="14">
        <f>IF(AND(A49&gt;0,A49&lt;=(Drivers!B19+Drivers!B20)),Drivers!B18*(1+Drivers!B23)^(A49/12),0)</f>
        <v>0</v>
      </c>
      <c r="J49" s="14">
        <f t="shared" si="1"/>
        <v>0</v>
      </c>
      <c r="K49" s="12">
        <f>IF(A49&gt;(Drivers!B19+Drivers!B20),MIN(1,0.5+0.5*(A49-(Drivers!B19+Drivers!B20))/Drivers!B39),0)</f>
        <v>0.7083333333</v>
      </c>
      <c r="L49" s="14">
        <f>Drivers!B2*(B49-B48)*Drivers!B24*(1+Drivers!B22)^(A49/12)*Drivers!B25*K49</f>
        <v>691316.7028</v>
      </c>
      <c r="M49" s="14">
        <f>L49*Drivers!B26</f>
        <v>138263.3406</v>
      </c>
      <c r="N49" s="14">
        <f>(L49+M49)*Drivers!B27</f>
        <v>290353.0152</v>
      </c>
      <c r="O49" s="14">
        <f>IF(A49&gt;(Drivers!B19+Drivers!B20),Drivers!B28/12*(1+Drivers!B23)^(A49/12),0)</f>
        <v>388680.4148</v>
      </c>
      <c r="P49" s="14">
        <f>(L49+M49)*Drivers!B29</f>
        <v>33183.20173</v>
      </c>
      <c r="Q49" s="14">
        <f>Drivers!B3*Drivers!B30*(1+Drivers!B22)^(A49/12)*Drivers!B31*(1-Drivers!B32 )*K49</f>
        <v>52654.04994</v>
      </c>
      <c r="R49" s="14">
        <f>IF(A49&gt;(Drivers!B19+Drivers!B20),Drivers!B33/12*(1+Drivers!B23)^(A49/12),0)</f>
        <v>58302.06222</v>
      </c>
      <c r="S49" s="14">
        <f t="shared" si="2"/>
        <v>111715.3994</v>
      </c>
      <c r="T49" s="14">
        <f t="shared" si="6"/>
        <v>21931485.77</v>
      </c>
      <c r="U49" s="14">
        <f>IF(AND(A49&gt;Drivers!B19,A49&lt;=(Drivers!B19+Drivers!B20)),Summary!B31*D49,0)</f>
        <v>0</v>
      </c>
      <c r="V49" s="14">
        <f>IF(A49&lt;=(Drivers!B19+Drivers!B20),(T49+U49/2)*Drivers!B36/12,T49*Drivers!B36/12)</f>
        <v>210176.7386</v>
      </c>
      <c r="W49" s="14">
        <f>IF(A49&gt;(Drivers!B19+Drivers!B20),MIN(T49,MAX(0,Summary!B32/12-V49)),0)</f>
        <v>48225.11579</v>
      </c>
      <c r="X49" s="14">
        <f>IF(A49=(Drivers!B19+1),Summary!B31*Drivers!B38,0)</f>
        <v>0</v>
      </c>
      <c r="Y49" s="14">
        <f t="shared" si="3"/>
        <v>21883260.65</v>
      </c>
      <c r="Z49" s="14">
        <f t="shared" si="4"/>
        <v>-146686.4551</v>
      </c>
      <c r="AA49" s="14">
        <f t="shared" si="7"/>
        <v>-145455685.7</v>
      </c>
      <c r="AB49" s="14">
        <f t="shared" si="5"/>
        <v>111715.3994</v>
      </c>
      <c r="AC49" s="14">
        <f>(E49+F49+G49+H49)*Drivers!B45</f>
        <v>0</v>
      </c>
      <c r="AD49" s="14">
        <f>IF(A49&lt;=Summary!B18,AB49+IF(A49=Summary!B18,Summary!B40,0),0)</f>
        <v>111715.3994</v>
      </c>
      <c r="AE49" s="14">
        <f>IF(A49&lt;=Summary!B18,Z49+IF(A49=Summary!B18,Summary!B40-Y49,0),0)</f>
        <v>-146686.4551</v>
      </c>
      <c r="AF49" s="14">
        <f>AD49-IF(A49=0,Drivers!B44,0)</f>
        <v>111715.3994</v>
      </c>
      <c r="AG49" s="14">
        <f t="shared" si="8"/>
        <v>-164043893.2</v>
      </c>
    </row>
    <row r="50">
      <c r="A50" s="2">
        <v>48.0</v>
      </c>
      <c r="B50" s="15">
        <f>EDATE(Setup!B2,A50)</f>
        <v>47740</v>
      </c>
      <c r="C50" s="2" t="str">
        <f>IF(A50=0,"T0",IF(A50&lt;=Drivers!B19,"Preconstruction",IF(A50&lt;=(Drivers!B19+Drivers!B20),"Construction","Trading")))</f>
        <v>Trading</v>
      </c>
      <c r="D50" s="12">
        <f t="array" ref="D50">IF(AND(A50&gt;Drivers!B19,A50&lt;=(Drivers!B19+Drivers!B20)),SIN(PI()*(A50-Drivers!B19-0.5)/Drivers!B20)/SUMPRODUCT(SIN(PI()*(SEQUENCE(Drivers!B20,1)-0.5)/Drivers!B20)),0)</f>
        <v>0</v>
      </c>
      <c r="E50" s="14">
        <f>(Summary!B10+Summary!B12)*D50*(1+Drivers!B21)^(A50/12)</f>
        <v>0</v>
      </c>
      <c r="F50" s="14">
        <f>IF(AND(A50&gt;0,A50&lt;=Drivers!B19),Summary!B11*Drivers!B40/Drivers!B19*(1+Drivers!B21)^(A50/12),Summary!B11*(1-Drivers!B40 )*D50*(1+Drivers!B21)^(A50/12))</f>
        <v>0</v>
      </c>
      <c r="G50" s="14">
        <f>IF(AND(A50&gt;0,A50&lt;=2),Drivers!B16/2,0)</f>
        <v>0</v>
      </c>
      <c r="H50" s="14">
        <f>IF(A50=(Drivers!B19+Drivers!B20),Drivers!B17*(1+Drivers!B21)^(A50/12),0)</f>
        <v>0</v>
      </c>
      <c r="I50" s="14">
        <f>IF(AND(A50&gt;0,A50&lt;=(Drivers!B19+Drivers!B20)),Drivers!B18*(1+Drivers!B23)^(A50/12),0)</f>
        <v>0</v>
      </c>
      <c r="J50" s="14">
        <f t="shared" si="1"/>
        <v>0</v>
      </c>
      <c r="K50" s="12">
        <f>IF(A50&gt;(Drivers!B19+Drivers!B20),MIN(1,0.5+0.5*(A50-(Drivers!B19+Drivers!B20))/Drivers!B39),0)</f>
        <v>0.75</v>
      </c>
      <c r="L50" s="14">
        <f>Drivers!B2*(B50-B49)*Drivers!B24*(1+Drivers!B22)^(A50/12)*Drivers!B25*K50</f>
        <v>734378.711</v>
      </c>
      <c r="M50" s="14">
        <f>L50*Drivers!B26</f>
        <v>146875.7422</v>
      </c>
      <c r="N50" s="14">
        <f>(L50+M50)*Drivers!B27</f>
        <v>308439.0586</v>
      </c>
      <c r="O50" s="14">
        <f>IF(A50&gt;(Drivers!B19+Drivers!B20),Drivers!B28/12*(1+Drivers!B23)^(A50/12),0)</f>
        <v>389952.8533</v>
      </c>
      <c r="P50" s="14">
        <f>(L50+M50)*Drivers!B29</f>
        <v>35250.17813</v>
      </c>
      <c r="Q50" s="14">
        <f>Drivers!B3*Drivers!B30*(1+Drivers!B22)^(A50/12)*Drivers!B31*(1-Drivers!B32 )*K50</f>
        <v>55933.8624</v>
      </c>
      <c r="R50" s="14">
        <f>IF(A50&gt;(Drivers!B19+Drivers!B20),Drivers!B33/12*(1+Drivers!B23)^(A50/12),0)</f>
        <v>58492.928</v>
      </c>
      <c r="S50" s="14">
        <f t="shared" si="2"/>
        <v>145053.2975</v>
      </c>
      <c r="T50" s="14">
        <f t="shared" si="6"/>
        <v>21883260.65</v>
      </c>
      <c r="U50" s="14">
        <f>IF(AND(A50&gt;Drivers!B19,A50&lt;=(Drivers!B19+Drivers!B20)),Summary!B31*D50,0)</f>
        <v>0</v>
      </c>
      <c r="V50" s="14">
        <f>IF(A50&lt;=(Drivers!B19+Drivers!B20),(T50+U50/2)*Drivers!B36/12,T50*Drivers!B36/12)</f>
        <v>209714.5813</v>
      </c>
      <c r="W50" s="14">
        <f>IF(A50&gt;(Drivers!B19+Drivers!B20),MIN(T50,MAX(0,Summary!B32/12-V50)),0)</f>
        <v>48687.27315</v>
      </c>
      <c r="X50" s="14">
        <f>IF(A50=(Drivers!B19+1),Summary!B31*Drivers!B38,0)</f>
        <v>0</v>
      </c>
      <c r="Y50" s="14">
        <f t="shared" si="3"/>
        <v>21834573.38</v>
      </c>
      <c r="Z50" s="14">
        <f t="shared" si="4"/>
        <v>-113348.5569</v>
      </c>
      <c r="AA50" s="14">
        <f t="shared" si="7"/>
        <v>-145569034.2</v>
      </c>
      <c r="AB50" s="14">
        <f t="shared" si="5"/>
        <v>145053.2975</v>
      </c>
      <c r="AC50" s="14">
        <f>(E50+F50+G50+H50)*Drivers!B45</f>
        <v>0</v>
      </c>
      <c r="AD50" s="14">
        <f>IF(A50&lt;=Summary!B18,AB50+IF(A50=Summary!B18,Summary!B40,0),0)</f>
        <v>145053.2975</v>
      </c>
      <c r="AE50" s="14">
        <f>IF(A50&lt;=Summary!B18,Z50+IF(A50=Summary!B18,Summary!B40-Y50,0),0)</f>
        <v>-113348.5569</v>
      </c>
      <c r="AF50" s="14">
        <f>AD50-IF(A50=0,Drivers!B44,0)</f>
        <v>145053.2975</v>
      </c>
      <c r="AG50" s="14">
        <f t="shared" si="8"/>
        <v>-163898839.9</v>
      </c>
    </row>
    <row r="51">
      <c r="A51" s="2">
        <v>49.0</v>
      </c>
      <c r="B51" s="15">
        <f>EDATE(Setup!B2,A51)</f>
        <v>47770</v>
      </c>
      <c r="C51" s="2" t="str">
        <f>IF(A51=0,"T0",IF(A51&lt;=Drivers!B19,"Preconstruction",IF(A51&lt;=(Drivers!B19+Drivers!B20),"Construction","Trading")))</f>
        <v>Trading</v>
      </c>
      <c r="D51" s="12">
        <f t="array" ref="D51">IF(AND(A51&gt;Drivers!B19,A51&lt;=(Drivers!B19+Drivers!B20)),SIN(PI()*(A51-Drivers!B19-0.5)/Drivers!B20)/SUMPRODUCT(SIN(PI()*(SEQUENCE(Drivers!B20,1)-0.5)/Drivers!B20)),0)</f>
        <v>0</v>
      </c>
      <c r="E51" s="14">
        <f>(Summary!B10+Summary!B12)*D51*(1+Drivers!B21)^(A51/12)</f>
        <v>0</v>
      </c>
      <c r="F51" s="14">
        <f>IF(AND(A51&gt;0,A51&lt;=Drivers!B19),Summary!B11*Drivers!B40/Drivers!B19*(1+Drivers!B21)^(A51/12),Summary!B11*(1-Drivers!B40 )*D51*(1+Drivers!B21)^(A51/12))</f>
        <v>0</v>
      </c>
      <c r="G51" s="14">
        <f>IF(AND(A51&gt;0,A51&lt;=2),Drivers!B16/2,0)</f>
        <v>0</v>
      </c>
      <c r="H51" s="14">
        <f>IF(A51=(Drivers!B19+Drivers!B20),Drivers!B17*(1+Drivers!B21)^(A51/12),0)</f>
        <v>0</v>
      </c>
      <c r="I51" s="14">
        <f>IF(AND(A51&gt;0,A51&lt;=(Drivers!B19+Drivers!B20)),Drivers!B18*(1+Drivers!B23)^(A51/12),0)</f>
        <v>0</v>
      </c>
      <c r="J51" s="14">
        <f t="shared" si="1"/>
        <v>0</v>
      </c>
      <c r="K51" s="12">
        <f>IF(A51&gt;(Drivers!B19+Drivers!B20),MIN(1,0.5+0.5*(A51-(Drivers!B19+Drivers!B20))/Drivers!B39),0)</f>
        <v>0.7916666667</v>
      </c>
      <c r="L51" s="14">
        <f>Drivers!B2*(B51-B50)*Drivers!B24*(1+Drivers!B22)^(A51/12)*Drivers!B25*K51</f>
        <v>752627.6689</v>
      </c>
      <c r="M51" s="14">
        <f>L51*Drivers!B26</f>
        <v>150525.5338</v>
      </c>
      <c r="N51" s="14">
        <f>(L51+M51)*Drivers!B27</f>
        <v>316103.6209</v>
      </c>
      <c r="O51" s="14">
        <f>IF(A51&gt;(Drivers!B19+Drivers!B20),Drivers!B28/12*(1+Drivers!B23)^(A51/12),0)</f>
        <v>391229.4575</v>
      </c>
      <c r="P51" s="14">
        <f>(L51+M51)*Drivers!B29</f>
        <v>36126.12811</v>
      </c>
      <c r="Q51" s="14">
        <f>Drivers!B3*Drivers!B30*(1+Drivers!B22)^(A51/12)*Drivers!B31*(1-Drivers!B32 )*K51</f>
        <v>59234.58505</v>
      </c>
      <c r="R51" s="14">
        <f>IF(A51&gt;(Drivers!B19+Drivers!B20),Drivers!B33/12*(1+Drivers!B23)^(A51/12),0)</f>
        <v>58684.41863</v>
      </c>
      <c r="S51" s="14">
        <f t="shared" si="2"/>
        <v>160244.1625</v>
      </c>
      <c r="T51" s="14">
        <f t="shared" si="6"/>
        <v>21834573.38</v>
      </c>
      <c r="U51" s="14">
        <f>IF(AND(A51&gt;Drivers!B19,A51&lt;=(Drivers!B19+Drivers!B20)),Summary!B31*D51,0)</f>
        <v>0</v>
      </c>
      <c r="V51" s="14">
        <f>IF(A51&lt;=(Drivers!B19+Drivers!B20),(T51+U51/2)*Drivers!B36/12,T51*Drivers!B36/12)</f>
        <v>209247.9949</v>
      </c>
      <c r="W51" s="14">
        <f>IF(A51&gt;(Drivers!B19+Drivers!B20),MIN(T51,MAX(0,Summary!B32/12-V51)),0)</f>
        <v>49153.85952</v>
      </c>
      <c r="X51" s="14">
        <f>IF(A51=(Drivers!B19+1),Summary!B31*Drivers!B38,0)</f>
        <v>0</v>
      </c>
      <c r="Y51" s="14">
        <f t="shared" si="3"/>
        <v>21785419.52</v>
      </c>
      <c r="Z51" s="14">
        <f t="shared" si="4"/>
        <v>-98157.69188</v>
      </c>
      <c r="AA51" s="14">
        <f t="shared" si="7"/>
        <v>-145667191.9</v>
      </c>
      <c r="AB51" s="14">
        <f t="shared" si="5"/>
        <v>160244.1625</v>
      </c>
      <c r="AC51" s="14">
        <f>(E51+F51+G51+H51)*Drivers!B45</f>
        <v>0</v>
      </c>
      <c r="AD51" s="14">
        <f>IF(A51&lt;=Summary!B18,AB51+IF(A51=Summary!B18,Summary!B40,0),0)</f>
        <v>160244.1625</v>
      </c>
      <c r="AE51" s="14">
        <f>IF(A51&lt;=Summary!B18,Z51+IF(A51=Summary!B18,Summary!B40-Y51,0),0)</f>
        <v>-98157.69188</v>
      </c>
      <c r="AF51" s="14">
        <f>AD51-IF(A51=0,Drivers!B44,0)</f>
        <v>160244.1625</v>
      </c>
      <c r="AG51" s="14">
        <f t="shared" si="8"/>
        <v>-163738595.7</v>
      </c>
    </row>
    <row r="52">
      <c r="A52" s="2">
        <v>50.0</v>
      </c>
      <c r="B52" s="15">
        <f>EDATE(Setup!B2,A52)</f>
        <v>47801</v>
      </c>
      <c r="C52" s="2" t="str">
        <f>IF(A52=0,"T0",IF(A52&lt;=Drivers!B19,"Preconstruction",IF(A52&lt;=(Drivers!B19+Drivers!B20),"Construction","Trading")))</f>
        <v>Trading</v>
      </c>
      <c r="D52" s="12">
        <f t="array" ref="D52">IF(AND(A52&gt;Drivers!B19,A52&lt;=(Drivers!B19+Drivers!B20)),SIN(PI()*(A52-Drivers!B19-0.5)/Drivers!B20)/SUMPRODUCT(SIN(PI()*(SEQUENCE(Drivers!B20,1)-0.5)/Drivers!B20)),0)</f>
        <v>0</v>
      </c>
      <c r="E52" s="14">
        <f>(Summary!B10+Summary!B12)*D52*(1+Drivers!B21)^(A52/12)</f>
        <v>0</v>
      </c>
      <c r="F52" s="14">
        <f>IF(AND(A52&gt;0,A52&lt;=Drivers!B19),Summary!B11*Drivers!B40/Drivers!B19*(1+Drivers!B21)^(A52/12),Summary!B11*(1-Drivers!B40 )*D52*(1+Drivers!B21)^(A52/12))</f>
        <v>0</v>
      </c>
      <c r="G52" s="14">
        <f>IF(AND(A52&gt;0,A52&lt;=2),Drivers!B16/2,0)</f>
        <v>0</v>
      </c>
      <c r="H52" s="14">
        <f>IF(A52=(Drivers!B19+Drivers!B20),Drivers!B17*(1+Drivers!B21)^(A52/12),0)</f>
        <v>0</v>
      </c>
      <c r="I52" s="14">
        <f>IF(AND(A52&gt;0,A52&lt;=(Drivers!B19+Drivers!B20)),Drivers!B18*(1+Drivers!B23)^(A52/12),0)</f>
        <v>0</v>
      </c>
      <c r="J52" s="14">
        <f t="shared" si="1"/>
        <v>0</v>
      </c>
      <c r="K52" s="12">
        <f>IF(A52&gt;(Drivers!B19+Drivers!B20),MIN(1,0.5+0.5*(A52-(Drivers!B19+Drivers!B20))/Drivers!B39),0)</f>
        <v>0.8333333333</v>
      </c>
      <c r="L52" s="14">
        <f>Drivers!B2*(B52-B51)*Drivers!B24*(1+Drivers!B22)^(A52/12)*Drivers!B25*K52</f>
        <v>821327.6792</v>
      </c>
      <c r="M52" s="14">
        <f>L52*Drivers!B26</f>
        <v>164265.5358</v>
      </c>
      <c r="N52" s="14">
        <f>(L52+M52)*Drivers!B27</f>
        <v>344957.6253</v>
      </c>
      <c r="O52" s="14">
        <f>IF(A52&gt;(Drivers!B19+Drivers!B20),Drivers!B28/12*(1+Drivers!B23)^(A52/12),0)</f>
        <v>392510.2409</v>
      </c>
      <c r="P52" s="14">
        <f>(L52+M52)*Drivers!B29</f>
        <v>39423.7286</v>
      </c>
      <c r="Q52" s="14">
        <f>Drivers!B3*Drivers!B30*(1+Drivers!B22)^(A52/12)*Drivers!B31*(1-Drivers!B32 )*K52</f>
        <v>62556.31965</v>
      </c>
      <c r="R52" s="14">
        <f>IF(A52&gt;(Drivers!B19+Drivers!B20),Drivers!B33/12*(1+Drivers!B23)^(A52/12),0)</f>
        <v>58876.53614</v>
      </c>
      <c r="S52" s="14">
        <f t="shared" si="2"/>
        <v>212381.4037</v>
      </c>
      <c r="T52" s="14">
        <f t="shared" si="6"/>
        <v>21785419.52</v>
      </c>
      <c r="U52" s="14">
        <f>IF(AND(A52&gt;Drivers!B19,A52&lt;=(Drivers!B19+Drivers!B20)),Summary!B31*D52,0)</f>
        <v>0</v>
      </c>
      <c r="V52" s="14">
        <f>IF(A52&lt;=(Drivers!B19+Drivers!B20),(T52+U52/2)*Drivers!B36/12,T52*Drivers!B36/12)</f>
        <v>208776.9371</v>
      </c>
      <c r="W52" s="14">
        <f>IF(A52&gt;(Drivers!B19+Drivers!B20),MIN(T52,MAX(0,Summary!B32/12-V52)),0)</f>
        <v>49624.91734</v>
      </c>
      <c r="X52" s="14">
        <f>IF(A52=(Drivers!B19+1),Summary!B31*Drivers!B38,0)</f>
        <v>0</v>
      </c>
      <c r="Y52" s="14">
        <f t="shared" si="3"/>
        <v>21735794.6</v>
      </c>
      <c r="Z52" s="14">
        <f t="shared" si="4"/>
        <v>-46020.4507</v>
      </c>
      <c r="AA52" s="14">
        <f t="shared" si="7"/>
        <v>-145713212.4</v>
      </c>
      <c r="AB52" s="14">
        <f t="shared" si="5"/>
        <v>212381.4037</v>
      </c>
      <c r="AC52" s="14">
        <f>(E52+F52+G52+H52)*Drivers!B45</f>
        <v>0</v>
      </c>
      <c r="AD52" s="14">
        <f>IF(A52&lt;=Summary!B18,AB52+IF(A52=Summary!B18,Summary!B40,0),0)</f>
        <v>212381.4037</v>
      </c>
      <c r="AE52" s="14">
        <f>IF(A52&lt;=Summary!B18,Z52+IF(A52=Summary!B18,Summary!B40-Y52,0),0)</f>
        <v>-46020.4507</v>
      </c>
      <c r="AF52" s="14">
        <f>AD52-IF(A52=0,Drivers!B44,0)</f>
        <v>212381.4037</v>
      </c>
      <c r="AG52" s="14">
        <f t="shared" si="8"/>
        <v>-163526214.3</v>
      </c>
    </row>
    <row r="53">
      <c r="A53" s="2">
        <v>51.0</v>
      </c>
      <c r="B53" s="15">
        <f>EDATE(Setup!B2,A53)</f>
        <v>47831</v>
      </c>
      <c r="C53" s="2" t="str">
        <f>IF(A53=0,"T0",IF(A53&lt;=Drivers!B19,"Preconstruction",IF(A53&lt;=(Drivers!B19+Drivers!B20),"Construction","Trading")))</f>
        <v>Trading</v>
      </c>
      <c r="D53" s="12">
        <f t="array" ref="D53">IF(AND(A53&gt;Drivers!B19,A53&lt;=(Drivers!B19+Drivers!B20)),SIN(PI()*(A53-Drivers!B19-0.5)/Drivers!B20)/SUMPRODUCT(SIN(PI()*(SEQUENCE(Drivers!B20,1)-0.5)/Drivers!B20)),0)</f>
        <v>0</v>
      </c>
      <c r="E53" s="14">
        <f>(Summary!B10+Summary!B12)*D53*(1+Drivers!B21)^(A53/12)</f>
        <v>0</v>
      </c>
      <c r="F53" s="14">
        <f>IF(AND(A53&gt;0,A53&lt;=Drivers!B19),Summary!B11*Drivers!B40/Drivers!B19*(1+Drivers!B21)^(A53/12),Summary!B11*(1-Drivers!B40 )*D53*(1+Drivers!B21)^(A53/12))</f>
        <v>0</v>
      </c>
      <c r="G53" s="14">
        <f>IF(AND(A53&gt;0,A53&lt;=2),Drivers!B16/2,0)</f>
        <v>0</v>
      </c>
      <c r="H53" s="14">
        <f>IF(A53=(Drivers!B19+Drivers!B20),Drivers!B17*(1+Drivers!B21)^(A53/12),0)</f>
        <v>0</v>
      </c>
      <c r="I53" s="14">
        <f>IF(AND(A53&gt;0,A53&lt;=(Drivers!B19+Drivers!B20)),Drivers!B18*(1+Drivers!B23)^(A53/12),0)</f>
        <v>0</v>
      </c>
      <c r="J53" s="14">
        <f t="shared" si="1"/>
        <v>0</v>
      </c>
      <c r="K53" s="12">
        <f>IF(A53&gt;(Drivers!B19+Drivers!B20),MIN(1,0.5+0.5*(A53-(Drivers!B19+Drivers!B20))/Drivers!B39),0)</f>
        <v>0.875</v>
      </c>
      <c r="L53" s="14">
        <f>Drivers!B2*(B53-B52)*Drivers!B24*(1+Drivers!B22)^(A53/12)*Drivers!B25*K53</f>
        <v>837307.0809</v>
      </c>
      <c r="M53" s="14">
        <f>L53*Drivers!B26</f>
        <v>167461.4162</v>
      </c>
      <c r="N53" s="14">
        <f>(L53+M53)*Drivers!B27</f>
        <v>351668.974</v>
      </c>
      <c r="O53" s="14">
        <f>IF(A53&gt;(Drivers!B19+Drivers!B20),Drivers!B28/12*(1+Drivers!B23)^(A53/12),0)</f>
        <v>393795.2173</v>
      </c>
      <c r="P53" s="14">
        <f>(L53+M53)*Drivers!B29</f>
        <v>40190.73988</v>
      </c>
      <c r="Q53" s="14">
        <f>Drivers!B3*Drivers!B30*(1+Drivers!B22)^(A53/12)*Drivers!B31*(1-Drivers!B32 )*K53</f>
        <v>65899.1684</v>
      </c>
      <c r="R53" s="14">
        <f>IF(A53&gt;(Drivers!B19+Drivers!B20),Drivers!B33/12*(1+Drivers!B23)^(A53/12),0)</f>
        <v>59069.2826</v>
      </c>
      <c r="S53" s="14">
        <f t="shared" si="2"/>
        <v>225943.4517</v>
      </c>
      <c r="T53" s="14">
        <f t="shared" si="6"/>
        <v>21735794.6</v>
      </c>
      <c r="U53" s="14">
        <f>IF(AND(A53&gt;Drivers!B19,A53&lt;=(Drivers!B19+Drivers!B20)),Summary!B31*D53,0)</f>
        <v>0</v>
      </c>
      <c r="V53" s="14">
        <f>IF(A53&lt;=(Drivers!B19+Drivers!B20),(T53+U53/2)*Drivers!B36/12,T53*Drivers!B36/12)</f>
        <v>208301.365</v>
      </c>
      <c r="W53" s="14">
        <f>IF(A53&gt;(Drivers!B19+Drivers!B20),MIN(T53,MAX(0,Summary!B32/12-V53)),0)</f>
        <v>50100.48946</v>
      </c>
      <c r="X53" s="14">
        <f>IF(A53=(Drivers!B19+1),Summary!B31*Drivers!B38,0)</f>
        <v>0</v>
      </c>
      <c r="Y53" s="14">
        <f t="shared" si="3"/>
        <v>21685694.11</v>
      </c>
      <c r="Z53" s="14">
        <f t="shared" si="4"/>
        <v>-32458.40276</v>
      </c>
      <c r="AA53" s="14">
        <f t="shared" si="7"/>
        <v>-145745670.8</v>
      </c>
      <c r="AB53" s="14">
        <f t="shared" si="5"/>
        <v>225943.4517</v>
      </c>
      <c r="AC53" s="14">
        <f>(E53+F53+G53+H53)*Drivers!B45</f>
        <v>0</v>
      </c>
      <c r="AD53" s="14">
        <f>IF(A53&lt;=Summary!B18,AB53+IF(A53=Summary!B18,Summary!B40,0),0)</f>
        <v>225943.4517</v>
      </c>
      <c r="AE53" s="14">
        <f>IF(A53&lt;=Summary!B18,Z53+IF(A53=Summary!B18,Summary!B40-Y53,0),0)</f>
        <v>-32458.40276</v>
      </c>
      <c r="AF53" s="14">
        <f>AD53-IF(A53=0,Drivers!B44,0)</f>
        <v>225943.4517</v>
      </c>
      <c r="AG53" s="14">
        <f t="shared" si="8"/>
        <v>-163300270.9</v>
      </c>
    </row>
    <row r="54">
      <c r="A54" s="2">
        <v>52.0</v>
      </c>
      <c r="B54" s="15">
        <f>EDATE(Setup!B2,A54)</f>
        <v>47862</v>
      </c>
      <c r="C54" s="2" t="str">
        <f>IF(A54=0,"T0",IF(A54&lt;=Drivers!B19,"Preconstruction",IF(A54&lt;=(Drivers!B19+Drivers!B20),"Construction","Trading")))</f>
        <v>Trading</v>
      </c>
      <c r="D54" s="12">
        <f t="array" ref="D54">IF(AND(A54&gt;Drivers!B19,A54&lt;=(Drivers!B19+Drivers!B20)),SIN(PI()*(A54-Drivers!B19-0.5)/Drivers!B20)/SUMPRODUCT(SIN(PI()*(SEQUENCE(Drivers!B20,1)-0.5)/Drivers!B20)),0)</f>
        <v>0</v>
      </c>
      <c r="E54" s="14">
        <f>(Summary!B10+Summary!B12)*D54*(1+Drivers!B21)^(A54/12)</f>
        <v>0</v>
      </c>
      <c r="F54" s="14">
        <f>IF(AND(A54&gt;0,A54&lt;=Drivers!B19),Summary!B11*Drivers!B40/Drivers!B19*(1+Drivers!B21)^(A54/12),Summary!B11*(1-Drivers!B40 )*D54*(1+Drivers!B21)^(A54/12))</f>
        <v>0</v>
      </c>
      <c r="G54" s="14">
        <f>IF(AND(A54&gt;0,A54&lt;=2),Drivers!B16/2,0)</f>
        <v>0</v>
      </c>
      <c r="H54" s="14">
        <f>IF(A54=(Drivers!B19+Drivers!B20),Drivers!B17*(1+Drivers!B21)^(A54/12),0)</f>
        <v>0</v>
      </c>
      <c r="I54" s="14">
        <f>IF(AND(A54&gt;0,A54&lt;=(Drivers!B19+Drivers!B20)),Drivers!B18*(1+Drivers!B23)^(A54/12),0)</f>
        <v>0</v>
      </c>
      <c r="J54" s="14">
        <f t="shared" si="1"/>
        <v>0</v>
      </c>
      <c r="K54" s="12">
        <f>IF(A54&gt;(Drivers!B19+Drivers!B20),MIN(1,0.5+0.5*(A54-(Drivers!B19+Drivers!B20))/Drivers!B39),0)</f>
        <v>0.9166666667</v>
      </c>
      <c r="L54" s="14">
        <f>Drivers!B2*(B54-B53)*Drivers!B24*(1+Drivers!B22)^(A54/12)*Drivers!B25*K54</f>
        <v>909385.5186</v>
      </c>
      <c r="M54" s="14">
        <f>L54*Drivers!B26</f>
        <v>181877.1037</v>
      </c>
      <c r="N54" s="14">
        <f>(L54+M54)*Drivers!B27</f>
        <v>381941.9178</v>
      </c>
      <c r="O54" s="14">
        <f>IF(A54&gt;(Drivers!B19+Drivers!B20),Drivers!B28/12*(1+Drivers!B23)^(A54/12),0)</f>
        <v>395084.4004</v>
      </c>
      <c r="P54" s="14">
        <f>(L54+M54)*Drivers!B29</f>
        <v>43650.50489</v>
      </c>
      <c r="Q54" s="14">
        <f>Drivers!B3*Drivers!B30*(1+Drivers!B22)^(A54/12)*Drivers!B31*(1-Drivers!B32 )*K54</f>
        <v>69263.23395</v>
      </c>
      <c r="R54" s="14">
        <f>IF(A54&gt;(Drivers!B19+Drivers!B20),Drivers!B33/12*(1+Drivers!B23)^(A54/12),0)</f>
        <v>59262.66006</v>
      </c>
      <c r="S54" s="14">
        <f t="shared" si="2"/>
        <v>280586.3731</v>
      </c>
      <c r="T54" s="14">
        <f t="shared" si="6"/>
        <v>21685694.11</v>
      </c>
      <c r="U54" s="14">
        <f>IF(AND(A54&gt;Drivers!B19,A54&lt;=(Drivers!B19+Drivers!B20)),Summary!B31*D54,0)</f>
        <v>0</v>
      </c>
      <c r="V54" s="14">
        <f>IF(A54&lt;=(Drivers!B19+Drivers!B20),(T54+U54/2)*Drivers!B36/12,T54*Drivers!B36/12)</f>
        <v>207821.2353</v>
      </c>
      <c r="W54" s="14">
        <f>IF(A54&gt;(Drivers!B19+Drivers!B20),MIN(T54,MAX(0,Summary!B32/12-V54)),0)</f>
        <v>50580.61915</v>
      </c>
      <c r="X54" s="14">
        <f>IF(A54=(Drivers!B19+1),Summary!B31*Drivers!B38,0)</f>
        <v>0</v>
      </c>
      <c r="Y54" s="14">
        <f t="shared" si="3"/>
        <v>21635113.5</v>
      </c>
      <c r="Z54" s="14">
        <f t="shared" si="4"/>
        <v>22184.5187</v>
      </c>
      <c r="AA54" s="14">
        <f t="shared" si="7"/>
        <v>-145723486.3</v>
      </c>
      <c r="AB54" s="14">
        <f t="shared" si="5"/>
        <v>280586.3731</v>
      </c>
      <c r="AC54" s="14">
        <f>(E54+F54+G54+H54)*Drivers!B45</f>
        <v>0</v>
      </c>
      <c r="AD54" s="14">
        <f>IF(A54&lt;=Summary!B18,AB54+IF(A54=Summary!B18,Summary!B40,0),0)</f>
        <v>280586.3731</v>
      </c>
      <c r="AE54" s="14">
        <f>IF(A54&lt;=Summary!B18,Z54+IF(A54=Summary!B18,Summary!B40-Y54,0),0)</f>
        <v>22184.5187</v>
      </c>
      <c r="AF54" s="14">
        <f>AD54-IF(A54=0,Drivers!B44,0)</f>
        <v>280586.3731</v>
      </c>
      <c r="AG54" s="14">
        <f t="shared" si="8"/>
        <v>-163019684.5</v>
      </c>
    </row>
    <row r="55">
      <c r="A55" s="2">
        <v>53.0</v>
      </c>
      <c r="B55" s="15">
        <f>EDATE(Setup!B2,A55)</f>
        <v>47893</v>
      </c>
      <c r="C55" s="2" t="str">
        <f>IF(A55=0,"T0",IF(A55&lt;=Drivers!B19,"Preconstruction",IF(A55&lt;=(Drivers!B19+Drivers!B20),"Construction","Trading")))</f>
        <v>Trading</v>
      </c>
      <c r="D55" s="12">
        <f t="array" ref="D55">IF(AND(A55&gt;Drivers!B19,A55&lt;=(Drivers!B19+Drivers!B20)),SIN(PI()*(A55-Drivers!B19-0.5)/Drivers!B20)/SUMPRODUCT(SIN(PI()*(SEQUENCE(Drivers!B20,1)-0.5)/Drivers!B20)),0)</f>
        <v>0</v>
      </c>
      <c r="E55" s="14">
        <f>(Summary!B10+Summary!B12)*D55*(1+Drivers!B21)^(A55/12)</f>
        <v>0</v>
      </c>
      <c r="F55" s="14">
        <f>IF(AND(A55&gt;0,A55&lt;=Drivers!B19),Summary!B11*Drivers!B40/Drivers!B19*(1+Drivers!B21)^(A55/12),Summary!B11*(1-Drivers!B40 )*D55*(1+Drivers!B21)^(A55/12))</f>
        <v>0</v>
      </c>
      <c r="G55" s="14">
        <f>IF(AND(A55&gt;0,A55&lt;=2),Drivers!B16/2,0)</f>
        <v>0</v>
      </c>
      <c r="H55" s="14">
        <f>IF(A55=(Drivers!B19+Drivers!B20),Drivers!B17*(1+Drivers!B21)^(A55/12),0)</f>
        <v>0</v>
      </c>
      <c r="I55" s="14">
        <f>IF(AND(A55&gt;0,A55&lt;=(Drivers!B19+Drivers!B20)),Drivers!B18*(1+Drivers!B23)^(A55/12),0)</f>
        <v>0</v>
      </c>
      <c r="J55" s="14">
        <f t="shared" si="1"/>
        <v>0</v>
      </c>
      <c r="K55" s="12">
        <f>IF(A55&gt;(Drivers!B19+Drivers!B20),MIN(1,0.5+0.5*(A55-(Drivers!B19+Drivers!B20))/Drivers!B39),0)</f>
        <v>0.9583333333</v>
      </c>
      <c r="L55" s="14">
        <f>Drivers!B2*(B55-B54)*Drivers!B24*(1+Drivers!B22)^(A55/12)*Drivers!B25*K55</f>
        <v>953833.6379</v>
      </c>
      <c r="M55" s="14">
        <f>L55*Drivers!B26</f>
        <v>190766.7276</v>
      </c>
      <c r="N55" s="14">
        <f>(L55+M55)*Drivers!B27</f>
        <v>400610.1279</v>
      </c>
      <c r="O55" s="14">
        <f>IF(A55&gt;(Drivers!B19+Drivers!B20),Drivers!B28/12*(1+Drivers!B23)^(A55/12),0)</f>
        <v>396377.8039</v>
      </c>
      <c r="P55" s="14">
        <f>(L55+M55)*Drivers!B29</f>
        <v>45784.01462</v>
      </c>
      <c r="Q55" s="14">
        <f>Drivers!B3*Drivers!B30*(1+Drivers!B22)^(A55/12)*Drivers!B31*(1-Drivers!B32 )*K55</f>
        <v>72648.61937</v>
      </c>
      <c r="R55" s="14">
        <f>IF(A55&gt;(Drivers!B19+Drivers!B20),Drivers!B33/12*(1+Drivers!B23)^(A55/12),0)</f>
        <v>59456.67059</v>
      </c>
      <c r="S55" s="14">
        <f t="shared" si="2"/>
        <v>315020.3678</v>
      </c>
      <c r="T55" s="14">
        <f t="shared" si="6"/>
        <v>21635113.5</v>
      </c>
      <c r="U55" s="14">
        <f>IF(AND(A55&gt;Drivers!B19,A55&lt;=(Drivers!B19+Drivers!B20)),Summary!B31*D55,0)</f>
        <v>0</v>
      </c>
      <c r="V55" s="14">
        <f>IF(A55&lt;=(Drivers!B19+Drivers!B20),(T55+U55/2)*Drivers!B36/12,T55*Drivers!B36/12)</f>
        <v>207336.5043</v>
      </c>
      <c r="W55" s="14">
        <f>IF(A55&gt;(Drivers!B19+Drivers!B20),MIN(T55,MAX(0,Summary!B32/12-V55)),0)</f>
        <v>51065.35009</v>
      </c>
      <c r="X55" s="14">
        <f>IF(A55=(Drivers!B19+1),Summary!B31*Drivers!B38,0)</f>
        <v>0</v>
      </c>
      <c r="Y55" s="14">
        <f t="shared" si="3"/>
        <v>21584048.15</v>
      </c>
      <c r="Z55" s="14">
        <f t="shared" si="4"/>
        <v>56618.5134</v>
      </c>
      <c r="AA55" s="14">
        <f t="shared" si="7"/>
        <v>-145666867.8</v>
      </c>
      <c r="AB55" s="14">
        <f t="shared" si="5"/>
        <v>315020.3678</v>
      </c>
      <c r="AC55" s="14">
        <f>(E55+F55+G55+H55)*Drivers!B45</f>
        <v>0</v>
      </c>
      <c r="AD55" s="14">
        <f>IF(A55&lt;=Summary!B18,AB55+IF(A55=Summary!B18,Summary!B40,0),0)</f>
        <v>315020.3678</v>
      </c>
      <c r="AE55" s="14">
        <f>IF(A55&lt;=Summary!B18,Z55+IF(A55=Summary!B18,Summary!B40-Y55,0),0)</f>
        <v>56618.5134</v>
      </c>
      <c r="AF55" s="14">
        <f>AD55-IF(A55=0,Drivers!B44,0)</f>
        <v>315020.3678</v>
      </c>
      <c r="AG55" s="14">
        <f t="shared" si="8"/>
        <v>-162704664.1</v>
      </c>
    </row>
    <row r="56">
      <c r="A56" s="2">
        <v>54.0</v>
      </c>
      <c r="B56" s="15">
        <f>EDATE(Setup!B2,A56)</f>
        <v>47921</v>
      </c>
      <c r="C56" s="2" t="str">
        <f>IF(A56=0,"T0",IF(A56&lt;=Drivers!B19,"Preconstruction",IF(A56&lt;=(Drivers!B19+Drivers!B20),"Construction","Trading")))</f>
        <v>Trading</v>
      </c>
      <c r="D56" s="12">
        <f t="array" ref="D56">IF(AND(A56&gt;Drivers!B19,A56&lt;=(Drivers!B19+Drivers!B20)),SIN(PI()*(A56-Drivers!B19-0.5)/Drivers!B20)/SUMPRODUCT(SIN(PI()*(SEQUENCE(Drivers!B20,1)-0.5)/Drivers!B20)),0)</f>
        <v>0</v>
      </c>
      <c r="E56" s="14">
        <f>(Summary!B10+Summary!B12)*D56*(1+Drivers!B21)^(A56/12)</f>
        <v>0</v>
      </c>
      <c r="F56" s="14">
        <f>IF(AND(A56&gt;0,A56&lt;=Drivers!B19),Summary!B11*Drivers!B40/Drivers!B19*(1+Drivers!B21)^(A56/12),Summary!B11*(1-Drivers!B40 )*D56*(1+Drivers!B21)^(A56/12))</f>
        <v>0</v>
      </c>
      <c r="G56" s="14">
        <f>IF(AND(A56&gt;0,A56&lt;=2),Drivers!B16/2,0)</f>
        <v>0</v>
      </c>
      <c r="H56" s="14">
        <f>IF(A56=(Drivers!B19+Drivers!B20),Drivers!B17*(1+Drivers!B21)^(A56/12),0)</f>
        <v>0</v>
      </c>
      <c r="I56" s="14">
        <f>IF(AND(A56&gt;0,A56&lt;=(Drivers!B19+Drivers!B20)),Drivers!B18*(1+Drivers!B23)^(A56/12),0)</f>
        <v>0</v>
      </c>
      <c r="J56" s="14">
        <f t="shared" si="1"/>
        <v>0</v>
      </c>
      <c r="K56" s="12">
        <f>IF(A56&gt;(Drivers!B19+Drivers!B20),MIN(1,0.5+0.5*(A56-(Drivers!B19+Drivers!B20))/Drivers!B39),0)</f>
        <v>1</v>
      </c>
      <c r="L56" s="14">
        <f>Drivers!B2*(B56-B55)*Drivers!B24*(1+Drivers!B22)^(A56/12)*Drivers!B25*K56</f>
        <v>901927.9018</v>
      </c>
      <c r="M56" s="14">
        <f>L56*Drivers!B26</f>
        <v>180385.5804</v>
      </c>
      <c r="N56" s="14">
        <f>(L56+M56)*Drivers!B27</f>
        <v>378809.7188</v>
      </c>
      <c r="O56" s="14">
        <f>IF(A56&gt;(Drivers!B19+Drivers!B20),Drivers!B28/12*(1+Drivers!B23)^(A56/12),0)</f>
        <v>397675.4417</v>
      </c>
      <c r="P56" s="14">
        <f>(L56+M56)*Drivers!B29</f>
        <v>43292.53929</v>
      </c>
      <c r="Q56" s="14">
        <f>Drivers!B3*Drivers!B30*(1+Drivers!B22)^(A56/12)*Drivers!B31*(1-Drivers!B32 )*K56</f>
        <v>76055.42823</v>
      </c>
      <c r="R56" s="14">
        <f>IF(A56&gt;(Drivers!B19+Drivers!B20),Drivers!B33/12*(1+Drivers!B23)^(A56/12),0)</f>
        <v>59651.31626</v>
      </c>
      <c r="S56" s="14">
        <f t="shared" si="2"/>
        <v>278939.8944</v>
      </c>
      <c r="T56" s="14">
        <f t="shared" si="6"/>
        <v>21584048.15</v>
      </c>
      <c r="U56" s="14">
        <f>IF(AND(A56&gt;Drivers!B19,A56&lt;=(Drivers!B19+Drivers!B20)),Summary!B31*D56,0)</f>
        <v>0</v>
      </c>
      <c r="V56" s="14">
        <f>IF(A56&lt;=(Drivers!B19+Drivers!B20),(T56+U56/2)*Drivers!B36/12,T56*Drivers!B36/12)</f>
        <v>206847.1281</v>
      </c>
      <c r="W56" s="14">
        <f>IF(A56&gt;(Drivers!B19+Drivers!B20),MIN(T56,MAX(0,Summary!B32/12-V56)),0)</f>
        <v>51554.72636</v>
      </c>
      <c r="X56" s="14">
        <f>IF(A56=(Drivers!B19+1),Summary!B31*Drivers!B38,0)</f>
        <v>0</v>
      </c>
      <c r="Y56" s="14">
        <f t="shared" si="3"/>
        <v>21532493.42</v>
      </c>
      <c r="Z56" s="14">
        <f t="shared" si="4"/>
        <v>20538.03996</v>
      </c>
      <c r="AA56" s="14">
        <f t="shared" si="7"/>
        <v>-145646329.7</v>
      </c>
      <c r="AB56" s="14">
        <f t="shared" si="5"/>
        <v>278939.8944</v>
      </c>
      <c r="AC56" s="14">
        <f>(E56+F56+G56+H56)*Drivers!B45</f>
        <v>0</v>
      </c>
      <c r="AD56" s="14">
        <f>IF(A56&lt;=Summary!B18,AB56+IF(A56=Summary!B18,Summary!B40,0),0)</f>
        <v>278939.8944</v>
      </c>
      <c r="AE56" s="14">
        <f>IF(A56&lt;=Summary!B18,Z56+IF(A56=Summary!B18,Summary!B40-Y56,0),0)</f>
        <v>20538.03996</v>
      </c>
      <c r="AF56" s="14">
        <f>AD56-IF(A56=0,Drivers!B44,0)</f>
        <v>278939.8944</v>
      </c>
      <c r="AG56" s="14">
        <f t="shared" si="8"/>
        <v>-162425724.2</v>
      </c>
    </row>
    <row r="57">
      <c r="A57" s="2">
        <v>55.0</v>
      </c>
      <c r="B57" s="15">
        <f>EDATE(Setup!B2,A57)</f>
        <v>47952</v>
      </c>
      <c r="C57" s="2" t="str">
        <f>IF(A57=0,"T0",IF(A57&lt;=Drivers!B19,"Preconstruction",IF(A57&lt;=(Drivers!B19+Drivers!B20),"Construction","Trading")))</f>
        <v>Trading</v>
      </c>
      <c r="D57" s="12">
        <f t="array" ref="D57">IF(AND(A57&gt;Drivers!B19,A57&lt;=(Drivers!B19+Drivers!B20)),SIN(PI()*(A57-Drivers!B19-0.5)/Drivers!B20)/SUMPRODUCT(SIN(PI()*(SEQUENCE(Drivers!B20,1)-0.5)/Drivers!B20)),0)</f>
        <v>0</v>
      </c>
      <c r="E57" s="14">
        <f>(Summary!B10+Summary!B12)*D57*(1+Drivers!B21)^(A57/12)</f>
        <v>0</v>
      </c>
      <c r="F57" s="14">
        <f>IF(AND(A57&gt;0,A57&lt;=Drivers!B19),Summary!B11*Drivers!B40/Drivers!B19*(1+Drivers!B21)^(A57/12),Summary!B11*(1-Drivers!B40 )*D57*(1+Drivers!B21)^(A57/12))</f>
        <v>0</v>
      </c>
      <c r="G57" s="14">
        <f>IF(AND(A57&gt;0,A57&lt;=2),Drivers!B16/2,0)</f>
        <v>0</v>
      </c>
      <c r="H57" s="14">
        <f>IF(A57=(Drivers!B19+Drivers!B20),Drivers!B17*(1+Drivers!B21)^(A57/12),0)</f>
        <v>0</v>
      </c>
      <c r="I57" s="14">
        <f>IF(AND(A57&gt;0,A57&lt;=(Drivers!B19+Drivers!B20)),Drivers!B18*(1+Drivers!B23)^(A57/12),0)</f>
        <v>0</v>
      </c>
      <c r="J57" s="14">
        <f t="shared" si="1"/>
        <v>0</v>
      </c>
      <c r="K57" s="12">
        <f>IF(A57&gt;(Drivers!B19+Drivers!B20),MIN(1,0.5+0.5*(A57-(Drivers!B19+Drivers!B20))/Drivers!B39),0)</f>
        <v>1</v>
      </c>
      <c r="L57" s="14">
        <f>Drivers!B2*(B57-B56)*Drivers!B24*(1+Drivers!B22)^(A57/12)*Drivers!B25*K57</f>
        <v>1001832.07</v>
      </c>
      <c r="M57" s="14">
        <f>L57*Drivers!B26</f>
        <v>200366.4139</v>
      </c>
      <c r="N57" s="14">
        <f>(L57+M57)*Drivers!B27</f>
        <v>420769.4693</v>
      </c>
      <c r="O57" s="14">
        <f>IF(A57&gt;(Drivers!B19+Drivers!B20),Drivers!B28/12*(1+Drivers!B23)^(A57/12),0)</f>
        <v>398977.3276</v>
      </c>
      <c r="P57" s="14">
        <f>(L57+M57)*Drivers!B29</f>
        <v>48087.93934</v>
      </c>
      <c r="Q57" s="14">
        <f>Drivers!B3*Drivers!B30*(1+Drivers!B22)^(A57/12)*Drivers!B31*(1-Drivers!B32 )*K57</f>
        <v>76304.41391</v>
      </c>
      <c r="R57" s="14">
        <f>IF(A57&gt;(Drivers!B19+Drivers!B20),Drivers!B33/12*(1+Drivers!B23)^(A57/12),0)</f>
        <v>59846.59914</v>
      </c>
      <c r="S57" s="14">
        <f t="shared" si="2"/>
        <v>350821.5621</v>
      </c>
      <c r="T57" s="14">
        <f t="shared" si="6"/>
        <v>21532493.42</v>
      </c>
      <c r="U57" s="14">
        <f>IF(AND(A57&gt;Drivers!B19,A57&lt;=(Drivers!B19+Drivers!B20)),Summary!B31*D57,0)</f>
        <v>0</v>
      </c>
      <c r="V57" s="14">
        <f>IF(A57&lt;=(Drivers!B19+Drivers!B20),(T57+U57/2)*Drivers!B36/12,T57*Drivers!B36/12)</f>
        <v>206353.0619</v>
      </c>
      <c r="W57" s="14">
        <f>IF(A57&gt;(Drivers!B19+Drivers!B20),MIN(T57,MAX(0,Summary!B32/12-V57)),0)</f>
        <v>52048.79249</v>
      </c>
      <c r="X57" s="14">
        <f>IF(A57=(Drivers!B19+1),Summary!B31*Drivers!B38,0)</f>
        <v>0</v>
      </c>
      <c r="Y57" s="14">
        <f t="shared" si="3"/>
        <v>21480444.63</v>
      </c>
      <c r="Z57" s="14">
        <f t="shared" si="4"/>
        <v>92419.70771</v>
      </c>
      <c r="AA57" s="14">
        <f t="shared" si="7"/>
        <v>-145553910</v>
      </c>
      <c r="AB57" s="14">
        <f t="shared" si="5"/>
        <v>350821.5621</v>
      </c>
      <c r="AC57" s="14">
        <f>(E57+F57+G57+H57)*Drivers!B45</f>
        <v>0</v>
      </c>
      <c r="AD57" s="14">
        <f>IF(A57&lt;=Summary!B18,AB57+IF(A57=Summary!B18,Summary!B40,0),0)</f>
        <v>350821.5621</v>
      </c>
      <c r="AE57" s="14">
        <f>IF(A57&lt;=Summary!B18,Z57+IF(A57=Summary!B18,Summary!B40-Y57,0),0)</f>
        <v>92419.70771</v>
      </c>
      <c r="AF57" s="14">
        <f>AD57-IF(A57=0,Drivers!B44,0)</f>
        <v>350821.5621</v>
      </c>
      <c r="AG57" s="14">
        <f t="shared" si="8"/>
        <v>-162074902.7</v>
      </c>
    </row>
    <row r="58">
      <c r="A58" s="2">
        <v>56.0</v>
      </c>
      <c r="B58" s="15">
        <f>EDATE(Setup!B2,A58)</f>
        <v>47982</v>
      </c>
      <c r="C58" s="2" t="str">
        <f>IF(A58=0,"T0",IF(A58&lt;=Drivers!B19,"Preconstruction",IF(A58&lt;=(Drivers!B19+Drivers!B20),"Construction","Trading")))</f>
        <v>Trading</v>
      </c>
      <c r="D58" s="12">
        <f t="array" ref="D58">IF(AND(A58&gt;Drivers!B19,A58&lt;=(Drivers!B19+Drivers!B20)),SIN(PI()*(A58-Drivers!B19-0.5)/Drivers!B20)/SUMPRODUCT(SIN(PI()*(SEQUENCE(Drivers!B20,1)-0.5)/Drivers!B20)),0)</f>
        <v>0</v>
      </c>
      <c r="E58" s="14">
        <f>(Summary!B10+Summary!B12)*D58*(1+Drivers!B21)^(A58/12)</f>
        <v>0</v>
      </c>
      <c r="F58" s="14">
        <f>IF(AND(A58&gt;0,A58&lt;=Drivers!B19),Summary!B11*Drivers!B40/Drivers!B19*(1+Drivers!B21)^(A58/12),Summary!B11*(1-Drivers!B40 )*D58*(1+Drivers!B21)^(A58/12))</f>
        <v>0</v>
      </c>
      <c r="G58" s="14">
        <f>IF(AND(A58&gt;0,A58&lt;=2),Drivers!B16/2,0)</f>
        <v>0</v>
      </c>
      <c r="H58" s="14">
        <f>IF(A58=(Drivers!B19+Drivers!B20),Drivers!B17*(1+Drivers!B21)^(A58/12),0)</f>
        <v>0</v>
      </c>
      <c r="I58" s="14">
        <f>IF(AND(A58&gt;0,A58&lt;=(Drivers!B19+Drivers!B20)),Drivers!B18*(1+Drivers!B23)^(A58/12),0)</f>
        <v>0</v>
      </c>
      <c r="J58" s="14">
        <f t="shared" si="1"/>
        <v>0</v>
      </c>
      <c r="K58" s="12">
        <f>IF(A58&gt;(Drivers!B19+Drivers!B20),MIN(1,0.5+0.5*(A58-(Drivers!B19+Drivers!B20))/Drivers!B39),0)</f>
        <v>1</v>
      </c>
      <c r="L58" s="14">
        <f>Drivers!B2*(B58-B57)*Drivers!B24*(1+Drivers!B22)^(A58/12)*Drivers!B25*K58</f>
        <v>972688.8456</v>
      </c>
      <c r="M58" s="14">
        <f>L58*Drivers!B26</f>
        <v>194537.7691</v>
      </c>
      <c r="N58" s="14">
        <f>(L58+M58)*Drivers!B27</f>
        <v>408529.3152</v>
      </c>
      <c r="O58" s="14">
        <f>IF(A58&gt;(Drivers!B19+Drivers!B20),Drivers!B28/12*(1+Drivers!B23)^(A58/12),0)</f>
        <v>400283.4756</v>
      </c>
      <c r="P58" s="14">
        <f>(L58+M58)*Drivers!B29</f>
        <v>46689.06459</v>
      </c>
      <c r="Q58" s="14">
        <f>Drivers!B3*Drivers!B30*(1+Drivers!B22)^(A58/12)*Drivers!B31*(1-Drivers!B32 )*K58</f>
        <v>76554.2147</v>
      </c>
      <c r="R58" s="14">
        <f>IF(A58&gt;(Drivers!B19+Drivers!B20),Drivers!B33/12*(1+Drivers!B23)^(A58/12),0)</f>
        <v>60042.52134</v>
      </c>
      <c r="S58" s="14">
        <f t="shared" si="2"/>
        <v>328236.4528</v>
      </c>
      <c r="T58" s="14">
        <f t="shared" si="6"/>
        <v>21480444.63</v>
      </c>
      <c r="U58" s="14">
        <f>IF(AND(A58&gt;Drivers!B19,A58&lt;=(Drivers!B19+Drivers!B20)),Summary!B31*D58,0)</f>
        <v>0</v>
      </c>
      <c r="V58" s="14">
        <f>IF(A58&lt;=(Drivers!B19+Drivers!B20),(T58+U58/2)*Drivers!B36/12,T58*Drivers!B36/12)</f>
        <v>205854.261</v>
      </c>
      <c r="W58" s="14">
        <f>IF(A58&gt;(Drivers!B19+Drivers!B20),MIN(T58,MAX(0,Summary!B32/12-V58)),0)</f>
        <v>52547.59341</v>
      </c>
      <c r="X58" s="14">
        <f>IF(A58=(Drivers!B19+1),Summary!B31*Drivers!B38,0)</f>
        <v>0</v>
      </c>
      <c r="Y58" s="14">
        <f t="shared" si="3"/>
        <v>21427897.03</v>
      </c>
      <c r="Z58" s="14">
        <f t="shared" si="4"/>
        <v>69834.59839</v>
      </c>
      <c r="AA58" s="14">
        <f t="shared" si="7"/>
        <v>-145484075.4</v>
      </c>
      <c r="AB58" s="14">
        <f t="shared" si="5"/>
        <v>328236.4528</v>
      </c>
      <c r="AC58" s="14">
        <f>(E58+F58+G58+H58)*Drivers!B45</f>
        <v>0</v>
      </c>
      <c r="AD58" s="14">
        <f>IF(A58&lt;=Summary!B18,AB58+IF(A58=Summary!B18,Summary!B40,0),0)</f>
        <v>328236.4528</v>
      </c>
      <c r="AE58" s="14">
        <f>IF(A58&lt;=Summary!B18,Z58+IF(A58=Summary!B18,Summary!B40-Y58,0),0)</f>
        <v>69834.59839</v>
      </c>
      <c r="AF58" s="14">
        <f>AD58-IF(A58=0,Drivers!B44,0)</f>
        <v>328236.4528</v>
      </c>
      <c r="AG58" s="14">
        <f t="shared" si="8"/>
        <v>-161746666.2</v>
      </c>
    </row>
    <row r="59">
      <c r="A59" s="2">
        <v>57.0</v>
      </c>
      <c r="B59" s="15">
        <f>EDATE(Setup!B2,A59)</f>
        <v>48013</v>
      </c>
      <c r="C59" s="2" t="str">
        <f>IF(A59=0,"T0",IF(A59&lt;=Drivers!B19,"Preconstruction",IF(A59&lt;=(Drivers!B19+Drivers!B20),"Construction","Trading")))</f>
        <v>Trading</v>
      </c>
      <c r="D59" s="12">
        <f t="array" ref="D59">IF(AND(A59&gt;Drivers!B19,A59&lt;=(Drivers!B19+Drivers!B20)),SIN(PI()*(A59-Drivers!B19-0.5)/Drivers!B20)/SUMPRODUCT(SIN(PI()*(SEQUENCE(Drivers!B20,1)-0.5)/Drivers!B20)),0)</f>
        <v>0</v>
      </c>
      <c r="E59" s="14">
        <f>(Summary!B10+Summary!B12)*D59*(1+Drivers!B21)^(A59/12)</f>
        <v>0</v>
      </c>
      <c r="F59" s="14">
        <f>IF(AND(A59&gt;0,A59&lt;=Drivers!B19),Summary!B11*Drivers!B40/Drivers!B19*(1+Drivers!B21)^(A59/12),Summary!B11*(1-Drivers!B40 )*D59*(1+Drivers!B21)^(A59/12))</f>
        <v>0</v>
      </c>
      <c r="G59" s="14">
        <f>IF(AND(A59&gt;0,A59&lt;=2),Drivers!B16/2,0)</f>
        <v>0</v>
      </c>
      <c r="H59" s="14">
        <f>IF(A59=(Drivers!B19+Drivers!B20),Drivers!B17*(1+Drivers!B21)^(A59/12),0)</f>
        <v>0</v>
      </c>
      <c r="I59" s="14">
        <f>IF(AND(A59&gt;0,A59&lt;=(Drivers!B19+Drivers!B20)),Drivers!B18*(1+Drivers!B23)^(A59/12),0)</f>
        <v>0</v>
      </c>
      <c r="J59" s="14">
        <f t="shared" si="1"/>
        <v>0</v>
      </c>
      <c r="K59" s="12">
        <f>IF(A59&gt;(Drivers!B19+Drivers!B20),MIN(1,0.5+0.5*(A59-(Drivers!B19+Drivers!B20))/Drivers!B39),0)</f>
        <v>1</v>
      </c>
      <c r="L59" s="14">
        <f>Drivers!B2*(B59-B58)*Drivers!B24*(1+Drivers!B22)^(A59/12)*Drivers!B25*K59</f>
        <v>1008402.282</v>
      </c>
      <c r="M59" s="14">
        <f>L59*Drivers!B26</f>
        <v>201680.4563</v>
      </c>
      <c r="N59" s="14">
        <f>(L59+M59)*Drivers!B27</f>
        <v>423528.9583</v>
      </c>
      <c r="O59" s="14">
        <f>IF(A59&gt;(Drivers!B19+Drivers!B20),Drivers!B28/12*(1+Drivers!B23)^(A59/12),0)</f>
        <v>401593.8995</v>
      </c>
      <c r="P59" s="14">
        <f>(L59+M59)*Drivers!B29</f>
        <v>48403.30952</v>
      </c>
      <c r="Q59" s="14">
        <f>Drivers!B3*Drivers!B30*(1+Drivers!B22)^(A59/12)*Drivers!B31*(1-Drivers!B32 )*K59</f>
        <v>76804.83328</v>
      </c>
      <c r="R59" s="14">
        <f>IF(A59&gt;(Drivers!B19+Drivers!B20),Drivers!B33/12*(1+Drivers!B23)^(A59/12),0)</f>
        <v>60239.08493</v>
      </c>
      <c r="S59" s="14">
        <f t="shared" si="2"/>
        <v>353122.319</v>
      </c>
      <c r="T59" s="14">
        <f t="shared" si="6"/>
        <v>21427897.03</v>
      </c>
      <c r="U59" s="14">
        <f>IF(AND(A59&gt;Drivers!B19,A59&lt;=(Drivers!B19+Drivers!B20)),Summary!B31*D59,0)</f>
        <v>0</v>
      </c>
      <c r="V59" s="14">
        <f>IF(A59&lt;=(Drivers!B19+Drivers!B20),(T59+U59/2)*Drivers!B36/12,T59*Drivers!B36/12)</f>
        <v>205350.6799</v>
      </c>
      <c r="W59" s="14">
        <f>IF(A59&gt;(Drivers!B19+Drivers!B20),MIN(T59,MAX(0,Summary!B32/12-V59)),0)</f>
        <v>53051.17452</v>
      </c>
      <c r="X59" s="14">
        <f>IF(A59=(Drivers!B19+1),Summary!B31*Drivers!B38,0)</f>
        <v>0</v>
      </c>
      <c r="Y59" s="14">
        <f t="shared" si="3"/>
        <v>21374845.86</v>
      </c>
      <c r="Z59" s="14">
        <f t="shared" si="4"/>
        <v>94720.46461</v>
      </c>
      <c r="AA59" s="14">
        <f t="shared" si="7"/>
        <v>-145389354.9</v>
      </c>
      <c r="AB59" s="14">
        <f t="shared" si="5"/>
        <v>353122.319</v>
      </c>
      <c r="AC59" s="14">
        <f>(E59+F59+G59+H59)*Drivers!B45</f>
        <v>0</v>
      </c>
      <c r="AD59" s="14">
        <f>IF(A59&lt;=Summary!B18,AB59+IF(A59=Summary!B18,Summary!B40,0),0)</f>
        <v>353122.319</v>
      </c>
      <c r="AE59" s="14">
        <f>IF(A59&lt;=Summary!B18,Z59+IF(A59=Summary!B18,Summary!B40-Y59,0),0)</f>
        <v>94720.46461</v>
      </c>
      <c r="AF59" s="14">
        <f>AD59-IF(A59=0,Drivers!B44,0)</f>
        <v>353122.319</v>
      </c>
      <c r="AG59" s="14">
        <f t="shared" si="8"/>
        <v>-161393543.9</v>
      </c>
    </row>
    <row r="60">
      <c r="A60" s="2">
        <v>58.0</v>
      </c>
      <c r="B60" s="15">
        <f>EDATE(Setup!B2,A60)</f>
        <v>48043</v>
      </c>
      <c r="C60" s="2" t="str">
        <f>IF(A60=0,"T0",IF(A60&lt;=Drivers!B19,"Preconstruction",IF(A60&lt;=(Drivers!B19+Drivers!B20),"Construction","Trading")))</f>
        <v>Trading</v>
      </c>
      <c r="D60" s="12">
        <f t="array" ref="D60">IF(AND(A60&gt;Drivers!B19,A60&lt;=(Drivers!B19+Drivers!B20)),SIN(PI()*(A60-Drivers!B19-0.5)/Drivers!B20)/SUMPRODUCT(SIN(PI()*(SEQUENCE(Drivers!B20,1)-0.5)/Drivers!B20)),0)</f>
        <v>0</v>
      </c>
      <c r="E60" s="14">
        <f>(Summary!B10+Summary!B12)*D60*(1+Drivers!B21)^(A60/12)</f>
        <v>0</v>
      </c>
      <c r="F60" s="14">
        <f>IF(AND(A60&gt;0,A60&lt;=Drivers!B19),Summary!B11*Drivers!B40/Drivers!B19*(1+Drivers!B21)^(A60/12),Summary!B11*(1-Drivers!B40 )*D60*(1+Drivers!B21)^(A60/12))</f>
        <v>0</v>
      </c>
      <c r="G60" s="14">
        <f>IF(AND(A60&gt;0,A60&lt;=2),Drivers!B16/2,0)</f>
        <v>0</v>
      </c>
      <c r="H60" s="14">
        <f>IF(A60=(Drivers!B19+Drivers!B20),Drivers!B17*(1+Drivers!B21)^(A60/12),0)</f>
        <v>0</v>
      </c>
      <c r="I60" s="14">
        <f>IF(AND(A60&gt;0,A60&lt;=(Drivers!B19+Drivers!B20)),Drivers!B18*(1+Drivers!B23)^(A60/12),0)</f>
        <v>0</v>
      </c>
      <c r="J60" s="14">
        <f t="shared" si="1"/>
        <v>0</v>
      </c>
      <c r="K60" s="12">
        <f>IF(A60&gt;(Drivers!B19+Drivers!B20),MIN(1,0.5+0.5*(A60-(Drivers!B19+Drivers!B20))/Drivers!B39),0)</f>
        <v>1</v>
      </c>
      <c r="L60" s="14">
        <f>Drivers!B2*(B60-B59)*Drivers!B24*(1+Drivers!B22)^(A60/12)*Drivers!B25*K60</f>
        <v>979067.9306</v>
      </c>
      <c r="M60" s="14">
        <f>L60*Drivers!B26</f>
        <v>195813.5861</v>
      </c>
      <c r="N60" s="14">
        <f>(L60+M60)*Drivers!B27</f>
        <v>411208.5309</v>
      </c>
      <c r="O60" s="14">
        <f>IF(A60&gt;(Drivers!B19+Drivers!B20),Drivers!B28/12*(1+Drivers!B23)^(A60/12),0)</f>
        <v>402908.6134</v>
      </c>
      <c r="P60" s="14">
        <f>(L60+M60)*Drivers!B29</f>
        <v>46995.26067</v>
      </c>
      <c r="Q60" s="14">
        <f>Drivers!B3*Drivers!B30*(1+Drivers!B22)^(A60/12)*Drivers!B31*(1-Drivers!B32 )*K60</f>
        <v>77056.27232</v>
      </c>
      <c r="R60" s="14">
        <f>IF(A60&gt;(Drivers!B19+Drivers!B20),Drivers!B33/12*(1+Drivers!B23)^(A60/12),0)</f>
        <v>60436.29201</v>
      </c>
      <c r="S60" s="14">
        <f t="shared" si="2"/>
        <v>330389.0921</v>
      </c>
      <c r="T60" s="14">
        <f t="shared" si="6"/>
        <v>21374845.86</v>
      </c>
      <c r="U60" s="14">
        <f>IF(AND(A60&gt;Drivers!B19,A60&lt;=(Drivers!B19+Drivers!B20)),Summary!B31*D60,0)</f>
        <v>0</v>
      </c>
      <c r="V60" s="14">
        <f>IF(A60&lt;=(Drivers!B19+Drivers!B20),(T60+U60/2)*Drivers!B36/12,T60*Drivers!B36/12)</f>
        <v>204842.2728</v>
      </c>
      <c r="W60" s="14">
        <f>IF(A60&gt;(Drivers!B19+Drivers!B20),MIN(T60,MAX(0,Summary!B32/12-V60)),0)</f>
        <v>53559.58161</v>
      </c>
      <c r="X60" s="14">
        <f>IF(A60=(Drivers!B19+1),Summary!B31*Drivers!B38,0)</f>
        <v>0</v>
      </c>
      <c r="Y60" s="14">
        <f t="shared" si="3"/>
        <v>21321286.28</v>
      </c>
      <c r="Z60" s="14">
        <f t="shared" si="4"/>
        <v>71987.23769</v>
      </c>
      <c r="AA60" s="14">
        <f t="shared" si="7"/>
        <v>-145317367.7</v>
      </c>
      <c r="AB60" s="14">
        <f t="shared" si="5"/>
        <v>330389.0921</v>
      </c>
      <c r="AC60" s="14">
        <f>(E60+F60+G60+H60)*Drivers!B45</f>
        <v>0</v>
      </c>
      <c r="AD60" s="14">
        <f>IF(A60&lt;=Summary!B18,AB60+IF(A60=Summary!B18,Summary!B40,0),0)</f>
        <v>330389.0921</v>
      </c>
      <c r="AE60" s="14">
        <f>IF(A60&lt;=Summary!B18,Z60+IF(A60=Summary!B18,Summary!B40-Y60,0),0)</f>
        <v>71987.23769</v>
      </c>
      <c r="AF60" s="14">
        <f>AD60-IF(A60=0,Drivers!B44,0)</f>
        <v>330389.0921</v>
      </c>
      <c r="AG60" s="14">
        <f t="shared" si="8"/>
        <v>-161063154.8</v>
      </c>
    </row>
    <row r="61">
      <c r="A61" s="2">
        <v>59.0</v>
      </c>
      <c r="B61" s="15">
        <f>EDATE(Setup!B2,A61)</f>
        <v>48074</v>
      </c>
      <c r="C61" s="2" t="str">
        <f>IF(A61=0,"T0",IF(A61&lt;=Drivers!B19,"Preconstruction",IF(A61&lt;=(Drivers!B19+Drivers!B20),"Construction","Trading")))</f>
        <v>Trading</v>
      </c>
      <c r="D61" s="12">
        <f t="array" ref="D61">IF(AND(A61&gt;Drivers!B19,A61&lt;=(Drivers!B19+Drivers!B20)),SIN(PI()*(A61-Drivers!B19-0.5)/Drivers!B20)/SUMPRODUCT(SIN(PI()*(SEQUENCE(Drivers!B20,1)-0.5)/Drivers!B20)),0)</f>
        <v>0</v>
      </c>
      <c r="E61" s="14">
        <f>(Summary!B10+Summary!B12)*D61*(1+Drivers!B21)^(A61/12)</f>
        <v>0</v>
      </c>
      <c r="F61" s="14">
        <f>IF(AND(A61&gt;0,A61&lt;=Drivers!B19),Summary!B11*Drivers!B40/Drivers!B19*(1+Drivers!B21)^(A61/12),Summary!B11*(1-Drivers!B40 )*D61*(1+Drivers!B21)^(A61/12))</f>
        <v>0</v>
      </c>
      <c r="G61" s="14">
        <f>IF(AND(A61&gt;0,A61&lt;=2),Drivers!B16/2,0)</f>
        <v>0</v>
      </c>
      <c r="H61" s="14">
        <f>IF(A61=(Drivers!B19+Drivers!B20),Drivers!B17*(1+Drivers!B21)^(A61/12),0)</f>
        <v>0</v>
      </c>
      <c r="I61" s="14">
        <f>IF(AND(A61&gt;0,A61&lt;=(Drivers!B19+Drivers!B20)),Drivers!B18*(1+Drivers!B23)^(A61/12),0)</f>
        <v>0</v>
      </c>
      <c r="J61" s="14">
        <f t="shared" si="1"/>
        <v>0</v>
      </c>
      <c r="K61" s="12">
        <f>IF(A61&gt;(Drivers!B19+Drivers!B20),MIN(1,0.5+0.5*(A61-(Drivers!B19+Drivers!B20))/Drivers!B39),0)</f>
        <v>1</v>
      </c>
      <c r="L61" s="14">
        <f>Drivers!B2*(B61-B60)*Drivers!B24*(1+Drivers!B22)^(A61/12)*Drivers!B25*K61</f>
        <v>1015015.582</v>
      </c>
      <c r="M61" s="14">
        <f>L61*Drivers!B26</f>
        <v>203003.1165</v>
      </c>
      <c r="N61" s="14">
        <f>(L61+M61)*Drivers!B27</f>
        <v>426306.5446</v>
      </c>
      <c r="O61" s="14">
        <f>IF(A61&gt;(Drivers!B19+Drivers!B20),Drivers!B28/12*(1+Drivers!B23)^(A61/12),0)</f>
        <v>404227.6314</v>
      </c>
      <c r="P61" s="14">
        <f>(L61+M61)*Drivers!B29</f>
        <v>48720.74796</v>
      </c>
      <c r="Q61" s="14">
        <f>Drivers!B3*Drivers!B30*(1+Drivers!B22)^(A61/12)*Drivers!B31*(1-Drivers!B32 )*K61</f>
        <v>77308.5345</v>
      </c>
      <c r="R61" s="14">
        <f>IF(A61&gt;(Drivers!B19+Drivers!B20),Drivers!B33/12*(1+Drivers!B23)^(A61/12),0)</f>
        <v>60634.14471</v>
      </c>
      <c r="S61" s="14">
        <f t="shared" si="2"/>
        <v>355438.1647</v>
      </c>
      <c r="T61" s="14">
        <f t="shared" si="6"/>
        <v>21321286.28</v>
      </c>
      <c r="U61" s="14">
        <f>IF(AND(A61&gt;Drivers!B19,A61&lt;=(Drivers!B19+Drivers!B20)),Summary!B31*D61,0)</f>
        <v>0</v>
      </c>
      <c r="V61" s="14">
        <f>IF(A61&lt;=(Drivers!B19+Drivers!B20),(T61+U61/2)*Drivers!B36/12,T61*Drivers!B36/12)</f>
        <v>204328.9935</v>
      </c>
      <c r="W61" s="14">
        <f>IF(A61&gt;(Drivers!B19+Drivers!B20),MIN(T61,MAX(0,Summary!B32/12-V61)),0)</f>
        <v>54072.86093</v>
      </c>
      <c r="X61" s="14">
        <f>IF(A61=(Drivers!B19+1),Summary!B31*Drivers!B38,0)</f>
        <v>0</v>
      </c>
      <c r="Y61" s="14">
        <f t="shared" si="3"/>
        <v>21267213.42</v>
      </c>
      <c r="Z61" s="14">
        <f t="shared" si="4"/>
        <v>97036.31032</v>
      </c>
      <c r="AA61" s="14">
        <f t="shared" si="7"/>
        <v>-145220331.4</v>
      </c>
      <c r="AB61" s="14">
        <f t="shared" si="5"/>
        <v>355438.1647</v>
      </c>
      <c r="AC61" s="14">
        <f>(E61+F61+G61+H61)*Drivers!B45</f>
        <v>0</v>
      </c>
      <c r="AD61" s="14">
        <f>IF(A61&lt;=Summary!B18,AB61+IF(A61=Summary!B18,Summary!B40,0),0)</f>
        <v>355438.1647</v>
      </c>
      <c r="AE61" s="14">
        <f>IF(A61&lt;=Summary!B18,Z61+IF(A61=Summary!B18,Summary!B40-Y61,0),0)</f>
        <v>97036.31032</v>
      </c>
      <c r="AF61" s="14">
        <f>AD61-IF(A61=0,Drivers!B44,0)</f>
        <v>355438.1647</v>
      </c>
      <c r="AG61" s="14">
        <f t="shared" si="8"/>
        <v>-160707716.7</v>
      </c>
    </row>
    <row r="62">
      <c r="A62" s="2">
        <v>60.0</v>
      </c>
      <c r="B62" s="15">
        <f>EDATE(Setup!B2,A62)</f>
        <v>48105</v>
      </c>
      <c r="C62" s="2" t="str">
        <f>IF(A62=0,"T0",IF(A62&lt;=Drivers!B19,"Preconstruction",IF(A62&lt;=(Drivers!B19+Drivers!B20),"Construction","Trading")))</f>
        <v>Trading</v>
      </c>
      <c r="D62" s="12">
        <f t="array" ref="D62">IF(AND(A62&gt;Drivers!B19,A62&lt;=(Drivers!B19+Drivers!B20)),SIN(PI()*(A62-Drivers!B19-0.5)/Drivers!B20)/SUMPRODUCT(SIN(PI()*(SEQUENCE(Drivers!B20,1)-0.5)/Drivers!B20)),0)</f>
        <v>0</v>
      </c>
      <c r="E62" s="14">
        <f>(Summary!B10+Summary!B12)*D62*(1+Drivers!B21)^(A62/12)</f>
        <v>0</v>
      </c>
      <c r="F62" s="14">
        <f>IF(AND(A62&gt;0,A62&lt;=Drivers!B19),Summary!B11*Drivers!B40/Drivers!B19*(1+Drivers!B21)^(A62/12),Summary!B11*(1-Drivers!B40 )*D62*(1+Drivers!B21)^(A62/12))</f>
        <v>0</v>
      </c>
      <c r="G62" s="14">
        <f>IF(AND(A62&gt;0,A62&lt;=2),Drivers!B16/2,0)</f>
        <v>0</v>
      </c>
      <c r="H62" s="14">
        <f>IF(A62=(Drivers!B19+Drivers!B20),Drivers!B17*(1+Drivers!B21)^(A62/12),0)</f>
        <v>0</v>
      </c>
      <c r="I62" s="14">
        <f>IF(AND(A62&gt;0,A62&lt;=(Drivers!B19+Drivers!B20)),Drivers!B18*(1+Drivers!B23)^(A62/12),0)</f>
        <v>0</v>
      </c>
      <c r="J62" s="14">
        <f t="shared" si="1"/>
        <v>0</v>
      </c>
      <c r="K62" s="12">
        <f>IF(A62&gt;(Drivers!B19+Drivers!B20),MIN(1,0.5+0.5*(A62-(Drivers!B19+Drivers!B20))/Drivers!B39),0)</f>
        <v>1</v>
      </c>
      <c r="L62" s="14">
        <f>Drivers!B2*(B62-B61)*Drivers!B24*(1+Drivers!B22)^(A62/12)*Drivers!B25*K62</f>
        <v>1018338.479</v>
      </c>
      <c r="M62" s="14">
        <f>L62*Drivers!B26</f>
        <v>203667.6959</v>
      </c>
      <c r="N62" s="14">
        <f>(L62+M62)*Drivers!B27</f>
        <v>427702.1613</v>
      </c>
      <c r="O62" s="14">
        <f>IF(A62&gt;(Drivers!B19+Drivers!B20),Drivers!B28/12*(1+Drivers!B23)^(A62/12),0)</f>
        <v>405550.9675</v>
      </c>
      <c r="P62" s="14">
        <f>(L62+M62)*Drivers!B29</f>
        <v>48880.24701</v>
      </c>
      <c r="Q62" s="14">
        <f>Drivers!B3*Drivers!B30*(1+Drivers!B22)^(A62/12)*Drivers!B31*(1-Drivers!B32 )*K62</f>
        <v>77561.62253</v>
      </c>
      <c r="R62" s="14">
        <f>IF(A62&gt;(Drivers!B19+Drivers!B20),Drivers!B33/12*(1+Drivers!B23)^(A62/12),0)</f>
        <v>60832.64512</v>
      </c>
      <c r="S62" s="14">
        <f t="shared" si="2"/>
        <v>356601.7768</v>
      </c>
      <c r="T62" s="14">
        <f t="shared" si="6"/>
        <v>21267213.42</v>
      </c>
      <c r="U62" s="14">
        <f>IF(AND(A62&gt;Drivers!B19,A62&lt;=(Drivers!B19+Drivers!B20)),Summary!B31*D62,0)</f>
        <v>0</v>
      </c>
      <c r="V62" s="14">
        <f>IF(A62&lt;=(Drivers!B19+Drivers!B20),(T62+U62/2)*Drivers!B36/12,T62*Drivers!B36/12)</f>
        <v>203810.7952</v>
      </c>
      <c r="W62" s="14">
        <f>IF(A62&gt;(Drivers!B19+Drivers!B20),MIN(T62,MAX(0,Summary!B32/12-V62)),0)</f>
        <v>54591.05918</v>
      </c>
      <c r="X62" s="14">
        <f>IF(A62=(Drivers!B19+1),Summary!B31*Drivers!B38,0)</f>
        <v>0</v>
      </c>
      <c r="Y62" s="14">
        <f t="shared" si="3"/>
        <v>21212622.36</v>
      </c>
      <c r="Z62" s="14">
        <f t="shared" si="4"/>
        <v>98199.92238</v>
      </c>
      <c r="AA62" s="14">
        <f t="shared" si="7"/>
        <v>-145122131.5</v>
      </c>
      <c r="AB62" s="14">
        <f t="shared" si="5"/>
        <v>356601.7768</v>
      </c>
      <c r="AC62" s="14">
        <f>(E62+F62+G62+H62)*Drivers!B45</f>
        <v>0</v>
      </c>
      <c r="AD62" s="14">
        <f>IF(A62&lt;=Summary!B18,AB62+IF(A62=Summary!B18,Summary!B40,0),0)</f>
        <v>356601.7768</v>
      </c>
      <c r="AE62" s="14">
        <f>IF(A62&lt;=Summary!B18,Z62+IF(A62=Summary!B18,Summary!B40-Y62,0),0)</f>
        <v>98199.92238</v>
      </c>
      <c r="AF62" s="14">
        <f>AD62-IF(A62=0,Drivers!B44,0)</f>
        <v>356601.7768</v>
      </c>
      <c r="AG62" s="14">
        <f t="shared" si="8"/>
        <v>-160351114.9</v>
      </c>
    </row>
    <row r="63">
      <c r="A63" s="2">
        <v>61.0</v>
      </c>
      <c r="B63" s="15">
        <f>EDATE(Setup!B2,A63)</f>
        <v>48135</v>
      </c>
      <c r="C63" s="2" t="str">
        <f>IF(A63=0,"T0",IF(A63&lt;=Drivers!B19,"Preconstruction",IF(A63&lt;=(Drivers!B19+Drivers!B20),"Construction","Trading")))</f>
        <v>Trading</v>
      </c>
      <c r="D63" s="12">
        <f t="array" ref="D63">IF(AND(A63&gt;Drivers!B19,A63&lt;=(Drivers!B19+Drivers!B20)),SIN(PI()*(A63-Drivers!B19-0.5)/Drivers!B20)/SUMPRODUCT(SIN(PI()*(SEQUENCE(Drivers!B20,1)-0.5)/Drivers!B20)),0)</f>
        <v>0</v>
      </c>
      <c r="E63" s="14">
        <f>(Summary!B10+Summary!B12)*D63*(1+Drivers!B21)^(A63/12)</f>
        <v>0</v>
      </c>
      <c r="F63" s="14">
        <f>IF(AND(A63&gt;0,A63&lt;=Drivers!B19),Summary!B11*Drivers!B40/Drivers!B19*(1+Drivers!B21)^(A63/12),Summary!B11*(1-Drivers!B40 )*D63*(1+Drivers!B21)^(A63/12))</f>
        <v>0</v>
      </c>
      <c r="G63" s="14">
        <f>IF(AND(A63&gt;0,A63&lt;=2),Drivers!B16/2,0)</f>
        <v>0</v>
      </c>
      <c r="H63" s="14">
        <f>IF(A63=(Drivers!B19+Drivers!B20),Drivers!B17*(1+Drivers!B21)^(A63/12),0)</f>
        <v>0</v>
      </c>
      <c r="I63" s="14">
        <f>IF(AND(A63&gt;0,A63&lt;=(Drivers!B19+Drivers!B20)),Drivers!B18*(1+Drivers!B23)^(A63/12),0)</f>
        <v>0</v>
      </c>
      <c r="J63" s="14">
        <f t="shared" si="1"/>
        <v>0</v>
      </c>
      <c r="K63" s="12">
        <f>IF(A63&gt;(Drivers!B19+Drivers!B20),MIN(1,0.5+0.5*(A63-(Drivers!B19+Drivers!B20))/Drivers!B39),0)</f>
        <v>1</v>
      </c>
      <c r="L63" s="14">
        <f>Drivers!B2*(B63-B62)*Drivers!B24*(1+Drivers!B22)^(A63/12)*Drivers!B25*K63</f>
        <v>988715.085</v>
      </c>
      <c r="M63" s="14">
        <f>L63*Drivers!B26</f>
        <v>197743.017</v>
      </c>
      <c r="N63" s="14">
        <f>(L63+M63)*Drivers!B27</f>
        <v>415260.3357</v>
      </c>
      <c r="O63" s="14">
        <f>IF(A63&gt;(Drivers!B19+Drivers!B20),Drivers!B28/12*(1+Drivers!B23)^(A63/12),0)</f>
        <v>406878.6358</v>
      </c>
      <c r="P63" s="14">
        <f>(L63+M63)*Drivers!B29</f>
        <v>47458.32408</v>
      </c>
      <c r="Q63" s="14">
        <f>Drivers!B3*Drivers!B30*(1+Drivers!B22)^(A63/12)*Drivers!B31*(1-Drivers!B32 )*K63</f>
        <v>77815.5391</v>
      </c>
      <c r="R63" s="14">
        <f>IF(A63&gt;(Drivers!B19+Drivers!B20),Drivers!B33/12*(1+Drivers!B23)^(A63/12),0)</f>
        <v>61031.79537</v>
      </c>
      <c r="S63" s="14">
        <f t="shared" si="2"/>
        <v>333644.5501</v>
      </c>
      <c r="T63" s="14">
        <f t="shared" si="6"/>
        <v>21212622.36</v>
      </c>
      <c r="U63" s="14">
        <f>IF(AND(A63&gt;Drivers!B19,A63&lt;=(Drivers!B19+Drivers!B20)),Summary!B31*D63,0)</f>
        <v>0</v>
      </c>
      <c r="V63" s="14">
        <f>IF(A63&lt;=(Drivers!B19+Drivers!B20),(T63+U63/2)*Drivers!B36/12,T63*Drivers!B36/12)</f>
        <v>203287.6309</v>
      </c>
      <c r="W63" s="14">
        <f>IF(A63&gt;(Drivers!B19+Drivers!B20),MIN(T63,MAX(0,Summary!B32/12-V63)),0)</f>
        <v>55114.2235</v>
      </c>
      <c r="X63" s="14">
        <f>IF(A63=(Drivers!B19+1),Summary!B31*Drivers!B38,0)</f>
        <v>0</v>
      </c>
      <c r="Y63" s="14">
        <f t="shared" si="3"/>
        <v>21157508.13</v>
      </c>
      <c r="Z63" s="14">
        <f t="shared" si="4"/>
        <v>75242.69573</v>
      </c>
      <c r="AA63" s="14">
        <f t="shared" si="7"/>
        <v>-145046888.8</v>
      </c>
      <c r="AB63" s="14">
        <f t="shared" si="5"/>
        <v>333644.5501</v>
      </c>
      <c r="AC63" s="14">
        <f>(E63+F63+G63+H63)*Drivers!B45</f>
        <v>0</v>
      </c>
      <c r="AD63" s="14">
        <f>IF(A63&lt;=Summary!B18,AB63+IF(A63=Summary!B18,Summary!B40,0),0)</f>
        <v>333644.5501</v>
      </c>
      <c r="AE63" s="14">
        <f>IF(A63&lt;=Summary!B18,Z63+IF(A63=Summary!B18,Summary!B40-Y63,0),0)</f>
        <v>75242.69573</v>
      </c>
      <c r="AF63" s="14">
        <f>AD63-IF(A63=0,Drivers!B44,0)</f>
        <v>333644.5501</v>
      </c>
      <c r="AG63" s="14">
        <f t="shared" si="8"/>
        <v>-160017470.3</v>
      </c>
    </row>
    <row r="64">
      <c r="A64" s="2">
        <v>62.0</v>
      </c>
      <c r="B64" s="15">
        <f>EDATE(Setup!B2,A64)</f>
        <v>48166</v>
      </c>
      <c r="C64" s="2" t="str">
        <f>IF(A64=0,"T0",IF(A64&lt;=Drivers!B19,"Preconstruction",IF(A64&lt;=(Drivers!B19+Drivers!B20),"Construction","Trading")))</f>
        <v>Trading</v>
      </c>
      <c r="D64" s="12">
        <f t="array" ref="D64">IF(AND(A64&gt;Drivers!B19,A64&lt;=(Drivers!B19+Drivers!B20)),SIN(PI()*(A64-Drivers!B19-0.5)/Drivers!B20)/SUMPRODUCT(SIN(PI()*(SEQUENCE(Drivers!B20,1)-0.5)/Drivers!B20)),0)</f>
        <v>0</v>
      </c>
      <c r="E64" s="14">
        <f>(Summary!B10+Summary!B12)*D64*(1+Drivers!B21)^(A64/12)</f>
        <v>0</v>
      </c>
      <c r="F64" s="14">
        <f>IF(AND(A64&gt;0,A64&lt;=Drivers!B19),Summary!B11*Drivers!B40/Drivers!B19*(1+Drivers!B21)^(A64/12),Summary!B11*(1-Drivers!B40 )*D64*(1+Drivers!B21)^(A64/12))</f>
        <v>0</v>
      </c>
      <c r="G64" s="14">
        <f>IF(AND(A64&gt;0,A64&lt;=2),Drivers!B16/2,0)</f>
        <v>0</v>
      </c>
      <c r="H64" s="14">
        <f>IF(A64=(Drivers!B19+Drivers!B20),Drivers!B17*(1+Drivers!B21)^(A64/12),0)</f>
        <v>0</v>
      </c>
      <c r="I64" s="14">
        <f>IF(AND(A64&gt;0,A64&lt;=(Drivers!B19+Drivers!B20)),Drivers!B18*(1+Drivers!B23)^(A64/12),0)</f>
        <v>0</v>
      </c>
      <c r="J64" s="14">
        <f t="shared" si="1"/>
        <v>0</v>
      </c>
      <c r="K64" s="12">
        <f>IF(A64&gt;(Drivers!B19+Drivers!B20),MIN(1,0.5+0.5*(A64-(Drivers!B19+Drivers!B20))/Drivers!B39),0)</f>
        <v>1</v>
      </c>
      <c r="L64" s="14">
        <f>Drivers!B2*(B64-B63)*Drivers!B24*(1+Drivers!B22)^(A64/12)*Drivers!B25*K64</f>
        <v>1025016.944</v>
      </c>
      <c r="M64" s="14">
        <f>L64*Drivers!B26</f>
        <v>205003.3887</v>
      </c>
      <c r="N64" s="14">
        <f>(L64+M64)*Drivers!B27</f>
        <v>430507.1163</v>
      </c>
      <c r="O64" s="14">
        <f>IF(A64&gt;(Drivers!B19+Drivers!B20),Drivers!B28/12*(1+Drivers!B23)^(A64/12),0)</f>
        <v>408210.6506</v>
      </c>
      <c r="P64" s="14">
        <f>(L64+M64)*Drivers!B29</f>
        <v>49200.81329</v>
      </c>
      <c r="Q64" s="14">
        <f>Drivers!B3*Drivers!B30*(1+Drivers!B22)^(A64/12)*Drivers!B31*(1-Drivers!B32 )*K64</f>
        <v>78070.28692</v>
      </c>
      <c r="R64" s="14">
        <f>IF(A64&gt;(Drivers!B19+Drivers!B20),Drivers!B33/12*(1+Drivers!B23)^(A64/12),0)</f>
        <v>61231.59759</v>
      </c>
      <c r="S64" s="14">
        <f t="shared" si="2"/>
        <v>358940.4415</v>
      </c>
      <c r="T64" s="14">
        <f t="shared" si="6"/>
        <v>21157508.13</v>
      </c>
      <c r="U64" s="14">
        <f>IF(AND(A64&gt;Drivers!B19,A64&lt;=(Drivers!B19+Drivers!B20)),Summary!B31*D64,0)</f>
        <v>0</v>
      </c>
      <c r="V64" s="14">
        <f>IF(A64&lt;=(Drivers!B19+Drivers!B20),(T64+U64/2)*Drivers!B36/12,T64*Drivers!B36/12)</f>
        <v>202759.4529</v>
      </c>
      <c r="W64" s="14">
        <f>IF(A64&gt;(Drivers!B19+Drivers!B20),MIN(T64,MAX(0,Summary!B32/12-V64)),0)</f>
        <v>55642.40147</v>
      </c>
      <c r="X64" s="14">
        <f>IF(A64=(Drivers!B19+1),Summary!B31*Drivers!B38,0)</f>
        <v>0</v>
      </c>
      <c r="Y64" s="14">
        <f t="shared" si="3"/>
        <v>21101865.73</v>
      </c>
      <c r="Z64" s="14">
        <f t="shared" si="4"/>
        <v>100538.5871</v>
      </c>
      <c r="AA64" s="14">
        <f t="shared" si="7"/>
        <v>-144946350.2</v>
      </c>
      <c r="AB64" s="14">
        <f t="shared" si="5"/>
        <v>358940.4415</v>
      </c>
      <c r="AC64" s="14">
        <f>(E64+F64+G64+H64)*Drivers!B45</f>
        <v>0</v>
      </c>
      <c r="AD64" s="14">
        <f>IF(A64&lt;=Summary!B18,AB64+IF(A64=Summary!B18,Summary!B40,0),0)</f>
        <v>358940.4415</v>
      </c>
      <c r="AE64" s="14">
        <f>IF(A64&lt;=Summary!B18,Z64+IF(A64=Summary!B18,Summary!B40-Y64,0),0)</f>
        <v>100538.5871</v>
      </c>
      <c r="AF64" s="14">
        <f>AD64-IF(A64=0,Drivers!B44,0)</f>
        <v>358940.4415</v>
      </c>
      <c r="AG64" s="14">
        <f t="shared" si="8"/>
        <v>-159658529.9</v>
      </c>
    </row>
    <row r="65">
      <c r="A65" s="2">
        <v>63.0</v>
      </c>
      <c r="B65" s="15">
        <f>EDATE(Setup!B2,A65)</f>
        <v>48196</v>
      </c>
      <c r="C65" s="2" t="str">
        <f>IF(A65=0,"T0",IF(A65&lt;=Drivers!B19,"Preconstruction",IF(A65&lt;=(Drivers!B19+Drivers!B20),"Construction","Trading")))</f>
        <v>Trading</v>
      </c>
      <c r="D65" s="12">
        <f t="array" ref="D65">IF(AND(A65&gt;Drivers!B19,A65&lt;=(Drivers!B19+Drivers!B20)),SIN(PI()*(A65-Drivers!B19-0.5)/Drivers!B20)/SUMPRODUCT(SIN(PI()*(SEQUENCE(Drivers!B20,1)-0.5)/Drivers!B20)),0)</f>
        <v>0</v>
      </c>
      <c r="E65" s="14">
        <f>(Summary!B10+Summary!B12)*D65*(1+Drivers!B21)^(A65/12)</f>
        <v>0</v>
      </c>
      <c r="F65" s="14">
        <f>IF(AND(A65&gt;0,A65&lt;=Drivers!B19),Summary!B11*Drivers!B40/Drivers!B19*(1+Drivers!B21)^(A65/12),Summary!B11*(1-Drivers!B40 )*D65*(1+Drivers!B21)^(A65/12))</f>
        <v>0</v>
      </c>
      <c r="G65" s="14">
        <f>IF(AND(A65&gt;0,A65&lt;=2),Drivers!B16/2,0)</f>
        <v>0</v>
      </c>
      <c r="H65" s="14">
        <f>IF(A65=(Drivers!B19+Drivers!B20),Drivers!B17*(1+Drivers!B21)^(A65/12),0)</f>
        <v>0</v>
      </c>
      <c r="I65" s="14">
        <f>IF(AND(A65&gt;0,A65&lt;=(Drivers!B19+Drivers!B20)),Drivers!B18*(1+Drivers!B23)^(A65/12),0)</f>
        <v>0</v>
      </c>
      <c r="J65" s="14">
        <f t="shared" si="1"/>
        <v>0</v>
      </c>
      <c r="K65" s="12">
        <f>IF(A65&gt;(Drivers!B19+Drivers!B20),MIN(1,0.5+0.5*(A65-(Drivers!B19+Drivers!B20))/Drivers!B39),0)</f>
        <v>1</v>
      </c>
      <c r="L65" s="14">
        <f>Drivers!B2*(B65-B64)*Drivers!B24*(1+Drivers!B22)^(A65/12)*Drivers!B25*K65</f>
        <v>995199.2732</v>
      </c>
      <c r="M65" s="14">
        <f>L65*Drivers!B26</f>
        <v>199039.8546</v>
      </c>
      <c r="N65" s="14">
        <f>(L65+M65)*Drivers!B27</f>
        <v>417983.6948</v>
      </c>
      <c r="O65" s="14">
        <f>IF(A65&gt;(Drivers!B19+Drivers!B20),Drivers!B28/12*(1+Drivers!B23)^(A65/12),0)</f>
        <v>409547.026</v>
      </c>
      <c r="P65" s="14">
        <f>(L65+M65)*Drivers!B29</f>
        <v>47769.56512</v>
      </c>
      <c r="Q65" s="14">
        <f>Drivers!B3*Drivers!B30*(1+Drivers!B22)^(A65/12)*Drivers!B31*(1-Drivers!B32 )*K65</f>
        <v>78325.86873</v>
      </c>
      <c r="R65" s="14">
        <f>IF(A65&gt;(Drivers!B19+Drivers!B20),Drivers!B33/12*(1+Drivers!B23)^(A65/12),0)</f>
        <v>61432.0539</v>
      </c>
      <c r="S65" s="14">
        <f t="shared" si="2"/>
        <v>335832.6568</v>
      </c>
      <c r="T65" s="14">
        <f t="shared" si="6"/>
        <v>21101865.73</v>
      </c>
      <c r="U65" s="14">
        <f>IF(AND(A65&gt;Drivers!B19,A65&lt;=(Drivers!B19+Drivers!B20)),Summary!B31*D65,0)</f>
        <v>0</v>
      </c>
      <c r="V65" s="14">
        <f>IF(A65&lt;=(Drivers!B19+Drivers!B20),(T65+U65/2)*Drivers!B36/12,T65*Drivers!B36/12)</f>
        <v>202226.2133</v>
      </c>
      <c r="W65" s="14">
        <f>IF(A65&gt;(Drivers!B19+Drivers!B20),MIN(T65,MAX(0,Summary!B32/12-V65)),0)</f>
        <v>56175.64116</v>
      </c>
      <c r="X65" s="14">
        <f>IF(A65=(Drivers!B19+1),Summary!B31*Drivers!B38,0)</f>
        <v>0</v>
      </c>
      <c r="Y65" s="14">
        <f t="shared" si="3"/>
        <v>21045690.09</v>
      </c>
      <c r="Z65" s="14">
        <f t="shared" si="4"/>
        <v>77430.8024</v>
      </c>
      <c r="AA65" s="14">
        <f t="shared" si="7"/>
        <v>-144868919.4</v>
      </c>
      <c r="AB65" s="14">
        <f t="shared" si="5"/>
        <v>335832.6568</v>
      </c>
      <c r="AC65" s="14">
        <f>(E65+F65+G65+H65)*Drivers!B45</f>
        <v>0</v>
      </c>
      <c r="AD65" s="14">
        <f>IF(A65&lt;=Summary!B18,AB65+IF(A65=Summary!B18,Summary!B40,0),0)</f>
        <v>335832.6568</v>
      </c>
      <c r="AE65" s="14">
        <f>IF(A65&lt;=Summary!B18,Z65+IF(A65=Summary!B18,Summary!B40-Y65,0),0)</f>
        <v>77430.8024</v>
      </c>
      <c r="AF65" s="14">
        <f>AD65-IF(A65=0,Drivers!B44,0)</f>
        <v>335832.6568</v>
      </c>
      <c r="AG65" s="14">
        <f t="shared" si="8"/>
        <v>-159322697.2</v>
      </c>
    </row>
    <row r="66">
      <c r="A66" s="2">
        <v>64.0</v>
      </c>
      <c r="B66" s="15">
        <f>EDATE(Setup!B2,A66)</f>
        <v>48227</v>
      </c>
      <c r="C66" s="2" t="str">
        <f>IF(A66=0,"T0",IF(A66&lt;=Drivers!B19,"Preconstruction",IF(A66&lt;=(Drivers!B19+Drivers!B20),"Construction","Trading")))</f>
        <v>Trading</v>
      </c>
      <c r="D66" s="12">
        <f t="array" ref="D66">IF(AND(A66&gt;Drivers!B19,A66&lt;=(Drivers!B19+Drivers!B20)),SIN(PI()*(A66-Drivers!B19-0.5)/Drivers!B20)/SUMPRODUCT(SIN(PI()*(SEQUENCE(Drivers!B20,1)-0.5)/Drivers!B20)),0)</f>
        <v>0</v>
      </c>
      <c r="E66" s="14">
        <f>(Summary!B10+Summary!B12)*D66*(1+Drivers!B21)^(A66/12)</f>
        <v>0</v>
      </c>
      <c r="F66" s="14">
        <f>IF(AND(A66&gt;0,A66&lt;=Drivers!B19),Summary!B11*Drivers!B40/Drivers!B19*(1+Drivers!B21)^(A66/12),Summary!B11*(1-Drivers!B40 )*D66*(1+Drivers!B21)^(A66/12))</f>
        <v>0</v>
      </c>
      <c r="G66" s="14">
        <f>IF(AND(A66&gt;0,A66&lt;=2),Drivers!B16/2,0)</f>
        <v>0</v>
      </c>
      <c r="H66" s="14">
        <f>IF(A66=(Drivers!B19+Drivers!B20),Drivers!B17*(1+Drivers!B21)^(A66/12),0)</f>
        <v>0</v>
      </c>
      <c r="I66" s="14">
        <f>IF(AND(A66&gt;0,A66&lt;=(Drivers!B19+Drivers!B20)),Drivers!B18*(1+Drivers!B23)^(A66/12),0)</f>
        <v>0</v>
      </c>
      <c r="J66" s="14">
        <f t="shared" si="1"/>
        <v>0</v>
      </c>
      <c r="K66" s="12">
        <f>IF(A66&gt;(Drivers!B19+Drivers!B20),MIN(1,0.5+0.5*(A66-(Drivers!B19+Drivers!B20))/Drivers!B39),0)</f>
        <v>1</v>
      </c>
      <c r="L66" s="14">
        <f>Drivers!B2*(B66-B65)*Drivers!B24*(1+Drivers!B22)^(A66/12)*Drivers!B25*K66</f>
        <v>1031739.207</v>
      </c>
      <c r="M66" s="14">
        <f>L66*Drivers!B26</f>
        <v>206347.8413</v>
      </c>
      <c r="N66" s="14">
        <f>(L66+M66)*Drivers!B27</f>
        <v>433330.4668</v>
      </c>
      <c r="O66" s="14">
        <f>IF(A66&gt;(Drivers!B19+Drivers!B20),Drivers!B28/12*(1+Drivers!B23)^(A66/12),0)</f>
        <v>410887.7764</v>
      </c>
      <c r="P66" s="14">
        <f>(L66+M66)*Drivers!B29</f>
        <v>49523.48192</v>
      </c>
      <c r="Q66" s="14">
        <f>Drivers!B3*Drivers!B30*(1+Drivers!B22)^(A66/12)*Drivers!B31*(1-Drivers!B32 )*K66</f>
        <v>78582.28724</v>
      </c>
      <c r="R66" s="14">
        <f>IF(A66&gt;(Drivers!B19+Drivers!B20),Drivers!B33/12*(1+Drivers!B23)^(A66/12),0)</f>
        <v>61633.16646</v>
      </c>
      <c r="S66" s="14">
        <f t="shared" si="2"/>
        <v>361294.4436</v>
      </c>
      <c r="T66" s="14">
        <f t="shared" si="6"/>
        <v>21045690.09</v>
      </c>
      <c r="U66" s="14">
        <f>IF(AND(A66&gt;Drivers!B19,A66&lt;=(Drivers!B19+Drivers!B20)),Summary!B31*D66,0)</f>
        <v>0</v>
      </c>
      <c r="V66" s="14">
        <f>IF(A66&lt;=(Drivers!B19+Drivers!B20),(T66+U66/2)*Drivers!B36/12,T66*Drivers!B36/12)</f>
        <v>201687.8634</v>
      </c>
      <c r="W66" s="14">
        <f>IF(A66&gt;(Drivers!B19+Drivers!B20),MIN(T66,MAX(0,Summary!B32/12-V66)),0)</f>
        <v>56713.99105</v>
      </c>
      <c r="X66" s="14">
        <f>IF(A66=(Drivers!B19+1),Summary!B31*Drivers!B38,0)</f>
        <v>0</v>
      </c>
      <c r="Y66" s="14">
        <f t="shared" si="3"/>
        <v>20988976.1</v>
      </c>
      <c r="Z66" s="14">
        <f t="shared" si="4"/>
        <v>102892.5892</v>
      </c>
      <c r="AA66" s="14">
        <f t="shared" si="7"/>
        <v>-144766026.8</v>
      </c>
      <c r="AB66" s="14">
        <f t="shared" si="5"/>
        <v>361294.4436</v>
      </c>
      <c r="AC66" s="14">
        <f>(E66+F66+G66+H66)*Drivers!B45</f>
        <v>0</v>
      </c>
      <c r="AD66" s="14">
        <f>IF(A66&lt;=Summary!B18,AB66+IF(A66=Summary!B18,Summary!B40,0),0)</f>
        <v>361294.4436</v>
      </c>
      <c r="AE66" s="14">
        <f>IF(A66&lt;=Summary!B18,Z66+IF(A66=Summary!B18,Summary!B40-Y66,0),0)</f>
        <v>102892.5892</v>
      </c>
      <c r="AF66" s="14">
        <f>AD66-IF(A66=0,Drivers!B44,0)</f>
        <v>361294.4436</v>
      </c>
      <c r="AG66" s="14">
        <f t="shared" si="8"/>
        <v>-158961402.8</v>
      </c>
    </row>
    <row r="67">
      <c r="A67" s="2">
        <v>65.0</v>
      </c>
      <c r="B67" s="15">
        <f>EDATE(Setup!B2,A67)</f>
        <v>48258</v>
      </c>
      <c r="C67" s="2" t="str">
        <f>IF(A67=0,"T0",IF(A67&lt;=Drivers!B19,"Preconstruction",IF(A67&lt;=(Drivers!B19+Drivers!B20),"Construction","Trading")))</f>
        <v>Trading</v>
      </c>
      <c r="D67" s="12">
        <f t="array" ref="D67">IF(AND(A67&gt;Drivers!B19,A67&lt;=(Drivers!B19+Drivers!B20)),SIN(PI()*(A67-Drivers!B19-0.5)/Drivers!B20)/SUMPRODUCT(SIN(PI()*(SEQUENCE(Drivers!B20,1)-0.5)/Drivers!B20)),0)</f>
        <v>0</v>
      </c>
      <c r="E67" s="14">
        <f>(Summary!B10+Summary!B12)*D67*(1+Drivers!B21)^(A67/12)</f>
        <v>0</v>
      </c>
      <c r="F67" s="14">
        <f>IF(AND(A67&gt;0,A67&lt;=Drivers!B19),Summary!B11*Drivers!B40/Drivers!B19*(1+Drivers!B21)^(A67/12),Summary!B11*(1-Drivers!B40 )*D67*(1+Drivers!B21)^(A67/12))</f>
        <v>0</v>
      </c>
      <c r="G67" s="14">
        <f>IF(AND(A67&gt;0,A67&lt;=2),Drivers!B16/2,0)</f>
        <v>0</v>
      </c>
      <c r="H67" s="14">
        <f>IF(A67=(Drivers!B19+Drivers!B20),Drivers!B17*(1+Drivers!B21)^(A67/12),0)</f>
        <v>0</v>
      </c>
      <c r="I67" s="14">
        <f>IF(AND(A67&gt;0,A67&lt;=(Drivers!B19+Drivers!B20)),Drivers!B18*(1+Drivers!B23)^(A67/12),0)</f>
        <v>0</v>
      </c>
      <c r="J67" s="14">
        <f t="shared" si="1"/>
        <v>0</v>
      </c>
      <c r="K67" s="12">
        <f>IF(A67&gt;(Drivers!B19+Drivers!B20),MIN(1,0.5+0.5*(A67-(Drivers!B19+Drivers!B20))/Drivers!B39),0)</f>
        <v>1</v>
      </c>
      <c r="L67" s="14">
        <f>Drivers!B2*(B67-B66)*Drivers!B24*(1+Drivers!B22)^(A67/12)*Drivers!B25*K67</f>
        <v>1035116.852</v>
      </c>
      <c r="M67" s="14">
        <f>L67*Drivers!B26</f>
        <v>207023.3705</v>
      </c>
      <c r="N67" s="14">
        <f>(L67+M67)*Drivers!B27</f>
        <v>434749.078</v>
      </c>
      <c r="O67" s="14">
        <f>IF(A67&gt;(Drivers!B19+Drivers!B20),Drivers!B28/12*(1+Drivers!B23)^(A67/12),0)</f>
        <v>412232.9161</v>
      </c>
      <c r="P67" s="14">
        <f>(L67+M67)*Drivers!B29</f>
        <v>49685.60891</v>
      </c>
      <c r="Q67" s="14">
        <f>Drivers!B3*Drivers!B30*(1+Drivers!B22)^(A67/12)*Drivers!B31*(1-Drivers!B32 )*K67</f>
        <v>78839.5452</v>
      </c>
      <c r="R67" s="14">
        <f>IF(A67&gt;(Drivers!B19+Drivers!B20),Drivers!B33/12*(1+Drivers!B23)^(A67/12),0)</f>
        <v>61834.93741</v>
      </c>
      <c r="S67" s="14">
        <f t="shared" si="2"/>
        <v>362477.2276</v>
      </c>
      <c r="T67" s="14">
        <f t="shared" si="6"/>
        <v>20988976.1</v>
      </c>
      <c r="U67" s="14">
        <f>IF(AND(A67&gt;Drivers!B19,A67&lt;=(Drivers!B19+Drivers!B20)),Summary!B31*D67,0)</f>
        <v>0</v>
      </c>
      <c r="V67" s="14">
        <f>IF(A67&lt;=(Drivers!B19+Drivers!B20),(T67+U67/2)*Drivers!B36/12,T67*Drivers!B36/12)</f>
        <v>201144.3543</v>
      </c>
      <c r="W67" s="14">
        <f>IF(A67&gt;(Drivers!B19+Drivers!B20),MIN(T67,MAX(0,Summary!B32/12-V67)),0)</f>
        <v>57257.50013</v>
      </c>
      <c r="X67" s="14">
        <f>IF(A67=(Drivers!B19+1),Summary!B31*Drivers!B38,0)</f>
        <v>0</v>
      </c>
      <c r="Y67" s="14">
        <f t="shared" si="3"/>
        <v>20931718.6</v>
      </c>
      <c r="Z67" s="14">
        <f t="shared" si="4"/>
        <v>104075.3732</v>
      </c>
      <c r="AA67" s="14">
        <f t="shared" si="7"/>
        <v>-144661951.4</v>
      </c>
      <c r="AB67" s="14">
        <f t="shared" si="5"/>
        <v>362477.2276</v>
      </c>
      <c r="AC67" s="14">
        <f>(E67+F67+G67+H67)*Drivers!B45</f>
        <v>0</v>
      </c>
      <c r="AD67" s="14">
        <f>IF(A67&lt;=Summary!B18,AB67+IF(A67=Summary!B18,Summary!B40,0),0)</f>
        <v>362477.2276</v>
      </c>
      <c r="AE67" s="14">
        <f>IF(A67&lt;=Summary!B18,Z67+IF(A67=Summary!B18,Summary!B40-Y67,0),0)</f>
        <v>104075.3732</v>
      </c>
      <c r="AF67" s="14">
        <f>AD67-IF(A67=0,Drivers!B44,0)</f>
        <v>362477.2276</v>
      </c>
      <c r="AG67" s="14">
        <f t="shared" si="8"/>
        <v>-158598925.6</v>
      </c>
    </row>
    <row r="68">
      <c r="A68" s="2">
        <v>66.0</v>
      </c>
      <c r="B68" s="15">
        <f>EDATE(Setup!B2,A68)</f>
        <v>48287</v>
      </c>
      <c r="C68" s="2" t="str">
        <f>IF(A68=0,"T0",IF(A68&lt;=Drivers!B19,"Preconstruction",IF(A68&lt;=(Drivers!B19+Drivers!B20),"Construction","Trading")))</f>
        <v>Trading</v>
      </c>
      <c r="D68" s="12">
        <f t="array" ref="D68">IF(AND(A68&gt;Drivers!B19,A68&lt;=(Drivers!B19+Drivers!B20)),SIN(PI()*(A68-Drivers!B19-0.5)/Drivers!B20)/SUMPRODUCT(SIN(PI()*(SEQUENCE(Drivers!B20,1)-0.5)/Drivers!B20)),0)</f>
        <v>0</v>
      </c>
      <c r="E68" s="14">
        <f>(Summary!B10+Summary!B12)*D68*(1+Drivers!B21)^(A68/12)</f>
        <v>0</v>
      </c>
      <c r="F68" s="14">
        <f>IF(AND(A68&gt;0,A68&lt;=Drivers!B19),Summary!B11*Drivers!B40/Drivers!B19*(1+Drivers!B21)^(A68/12),Summary!B11*(1-Drivers!B40 )*D68*(1+Drivers!B21)^(A68/12))</f>
        <v>0</v>
      </c>
      <c r="G68" s="14">
        <f>IF(AND(A68&gt;0,A68&lt;=2),Drivers!B16/2,0)</f>
        <v>0</v>
      </c>
      <c r="H68" s="14">
        <f>IF(A68=(Drivers!B19+Drivers!B20),Drivers!B17*(1+Drivers!B21)^(A68/12),0)</f>
        <v>0</v>
      </c>
      <c r="I68" s="14">
        <f>IF(AND(A68&gt;0,A68&lt;=(Drivers!B19+Drivers!B20)),Drivers!B18*(1+Drivers!B23)^(A68/12),0)</f>
        <v>0</v>
      </c>
      <c r="J68" s="14">
        <f t="shared" si="1"/>
        <v>0</v>
      </c>
      <c r="K68" s="12">
        <f>IF(A68&gt;(Drivers!B19+Drivers!B20),MIN(1,0.5+0.5*(A68-(Drivers!B19+Drivers!B20))/Drivers!B39),0)</f>
        <v>1</v>
      </c>
      <c r="L68" s="14">
        <f>Drivers!B2*(B68-B67)*Drivers!B24*(1+Drivers!B22)^(A68/12)*Drivers!B25*K68</f>
        <v>971505.1971</v>
      </c>
      <c r="M68" s="14">
        <f>L68*Drivers!B26</f>
        <v>194301.0394</v>
      </c>
      <c r="N68" s="14">
        <f>(L68+M68)*Drivers!B27</f>
        <v>408032.1828</v>
      </c>
      <c r="O68" s="14">
        <f>IF(A68&gt;(Drivers!B19+Drivers!B20),Drivers!B28/12*(1+Drivers!B23)^(A68/12),0)</f>
        <v>413582.4594</v>
      </c>
      <c r="P68" s="14">
        <f>(L68+M68)*Drivers!B29</f>
        <v>46632.24946</v>
      </c>
      <c r="Q68" s="14">
        <f>Drivers!B3*Drivers!B30*(1+Drivers!B22)^(A68/12)*Drivers!B31*(1-Drivers!B32 )*K68</f>
        <v>79097.64536</v>
      </c>
      <c r="R68" s="14">
        <f>IF(A68&gt;(Drivers!B19+Drivers!B20),Drivers!B33/12*(1+Drivers!B23)^(A68/12),0)</f>
        <v>62037.36891</v>
      </c>
      <c r="S68" s="14">
        <f t="shared" si="2"/>
        <v>314619.6213</v>
      </c>
      <c r="T68" s="14">
        <f t="shared" si="6"/>
        <v>20931718.6</v>
      </c>
      <c r="U68" s="14">
        <f>IF(AND(A68&gt;Drivers!B19,A68&lt;=(Drivers!B19+Drivers!B20)),Summary!B31*D68,0)</f>
        <v>0</v>
      </c>
      <c r="V68" s="14">
        <f>IF(A68&lt;=(Drivers!B19+Drivers!B20),(T68+U68/2)*Drivers!B36/12,T68*Drivers!B36/12)</f>
        <v>200595.6366</v>
      </c>
      <c r="W68" s="14">
        <f>IF(A68&gt;(Drivers!B19+Drivers!B20),MIN(T68,MAX(0,Summary!B32/12-V68)),0)</f>
        <v>57806.21784</v>
      </c>
      <c r="X68" s="14">
        <f>IF(A68=(Drivers!B19+1),Summary!B31*Drivers!B38,0)</f>
        <v>0</v>
      </c>
      <c r="Y68" s="14">
        <f t="shared" si="3"/>
        <v>20873912.38</v>
      </c>
      <c r="Z68" s="14">
        <f t="shared" si="4"/>
        <v>56217.76691</v>
      </c>
      <c r="AA68" s="14">
        <f t="shared" si="7"/>
        <v>-144605733.7</v>
      </c>
      <c r="AB68" s="14">
        <f t="shared" si="5"/>
        <v>314619.6213</v>
      </c>
      <c r="AC68" s="14">
        <f>(E68+F68+G68+H68)*Drivers!B45</f>
        <v>0</v>
      </c>
      <c r="AD68" s="14">
        <f>IF(A68&lt;=Summary!B18,AB68+IF(A68=Summary!B18,Summary!B40,0),0)</f>
        <v>314619.6213</v>
      </c>
      <c r="AE68" s="14">
        <f>IF(A68&lt;=Summary!B18,Z68+IF(A68=Summary!B18,Summary!B40-Y68,0),0)</f>
        <v>56217.76691</v>
      </c>
      <c r="AF68" s="14">
        <f>AD68-IF(A68=0,Drivers!B44,0)</f>
        <v>314619.6213</v>
      </c>
      <c r="AG68" s="14">
        <f t="shared" si="8"/>
        <v>-158284305.9</v>
      </c>
    </row>
    <row r="69">
      <c r="A69" s="2">
        <v>67.0</v>
      </c>
      <c r="B69" s="15">
        <f>EDATE(Setup!B2,A69)</f>
        <v>48318</v>
      </c>
      <c r="C69" s="2" t="str">
        <f>IF(A69=0,"T0",IF(A69&lt;=Drivers!B19,"Preconstruction",IF(A69&lt;=(Drivers!B19+Drivers!B20),"Construction","Trading")))</f>
        <v>Trading</v>
      </c>
      <c r="D69" s="12">
        <f t="array" ref="D69">IF(AND(A69&gt;Drivers!B19,A69&lt;=(Drivers!B19+Drivers!B20)),SIN(PI()*(A69-Drivers!B19-0.5)/Drivers!B20)/SUMPRODUCT(SIN(PI()*(SEQUENCE(Drivers!B20,1)-0.5)/Drivers!B20)),0)</f>
        <v>0</v>
      </c>
      <c r="E69" s="14">
        <f>(Summary!B10+Summary!B12)*D69*(1+Drivers!B21)^(A69/12)</f>
        <v>0</v>
      </c>
      <c r="F69" s="14">
        <f>IF(AND(A69&gt;0,A69&lt;=Drivers!B19),Summary!B11*Drivers!B40/Drivers!B19*(1+Drivers!B21)^(A69/12),Summary!B11*(1-Drivers!B40 )*D69*(1+Drivers!B21)^(A69/12))</f>
        <v>0</v>
      </c>
      <c r="G69" s="14">
        <f>IF(AND(A69&gt;0,A69&lt;=2),Drivers!B16/2,0)</f>
        <v>0</v>
      </c>
      <c r="H69" s="14">
        <f>IF(A69=(Drivers!B19+Drivers!B20),Drivers!B17*(1+Drivers!B21)^(A69/12),0)</f>
        <v>0</v>
      </c>
      <c r="I69" s="14">
        <f>IF(AND(A69&gt;0,A69&lt;=(Drivers!B19+Drivers!B20)),Drivers!B18*(1+Drivers!B23)^(A69/12),0)</f>
        <v>0</v>
      </c>
      <c r="J69" s="14">
        <f t="shared" si="1"/>
        <v>0</v>
      </c>
      <c r="K69" s="12">
        <f>IF(A69&gt;(Drivers!B19+Drivers!B20),MIN(1,0.5+0.5*(A69-(Drivers!B19+Drivers!B20))/Drivers!B39),0)</f>
        <v>1</v>
      </c>
      <c r="L69" s="14">
        <f>Drivers!B2*(B69-B68)*Drivers!B24*(1+Drivers!B22)^(A69/12)*Drivers!B25*K69</f>
        <v>1041905.352</v>
      </c>
      <c r="M69" s="14">
        <f>L69*Drivers!B26</f>
        <v>208381.0705</v>
      </c>
      <c r="N69" s="14">
        <f>(L69+M69)*Drivers!B27</f>
        <v>437600.248</v>
      </c>
      <c r="O69" s="14">
        <f>IF(A69&gt;(Drivers!B19+Drivers!B20),Drivers!B28/12*(1+Drivers!B23)^(A69/12),0)</f>
        <v>414936.4207</v>
      </c>
      <c r="P69" s="14">
        <f>(L69+M69)*Drivers!B29</f>
        <v>50011.45692</v>
      </c>
      <c r="Q69" s="14">
        <f>Drivers!B3*Drivers!B30*(1+Drivers!B22)^(A69/12)*Drivers!B31*(1-Drivers!B32 )*K69</f>
        <v>79356.59046</v>
      </c>
      <c r="R69" s="14">
        <f>IF(A69&gt;(Drivers!B19+Drivers!B20),Drivers!B33/12*(1+Drivers!B23)^(A69/12),0)</f>
        <v>62240.46311</v>
      </c>
      <c r="S69" s="14">
        <f t="shared" si="2"/>
        <v>364854.4246</v>
      </c>
      <c r="T69" s="14">
        <f t="shared" si="6"/>
        <v>20873912.38</v>
      </c>
      <c r="U69" s="14">
        <f>IF(AND(A69&gt;Drivers!B19,A69&lt;=(Drivers!B19+Drivers!B20)),Summary!B31*D69,0)</f>
        <v>0</v>
      </c>
      <c r="V69" s="14">
        <f>IF(A69&lt;=(Drivers!B19+Drivers!B20),(T69+U69/2)*Drivers!B36/12,T69*Drivers!B36/12)</f>
        <v>200041.6603</v>
      </c>
      <c r="W69" s="14">
        <f>IF(A69&gt;(Drivers!B19+Drivers!B20),MIN(T69,MAX(0,Summary!B32/12-V69)),0)</f>
        <v>58360.19409</v>
      </c>
      <c r="X69" s="14">
        <f>IF(A69=(Drivers!B19+1),Summary!B31*Drivers!B38,0)</f>
        <v>0</v>
      </c>
      <c r="Y69" s="14">
        <f t="shared" si="3"/>
        <v>20815552.19</v>
      </c>
      <c r="Z69" s="14">
        <f t="shared" si="4"/>
        <v>106452.5702</v>
      </c>
      <c r="AA69" s="14">
        <f t="shared" si="7"/>
        <v>-144499281.1</v>
      </c>
      <c r="AB69" s="14">
        <f t="shared" si="5"/>
        <v>364854.4246</v>
      </c>
      <c r="AC69" s="14">
        <f>(E69+F69+G69+H69)*Drivers!B45</f>
        <v>0</v>
      </c>
      <c r="AD69" s="14">
        <f>IF(A69&lt;=Summary!B18,AB69+IF(A69=Summary!B18,Summary!B40,0),0)</f>
        <v>364854.4246</v>
      </c>
      <c r="AE69" s="14">
        <f>IF(A69&lt;=Summary!B18,Z69+IF(A69=Summary!B18,Summary!B40-Y69,0),0)</f>
        <v>106452.5702</v>
      </c>
      <c r="AF69" s="14">
        <f>AD69-IF(A69=0,Drivers!B44,0)</f>
        <v>364854.4246</v>
      </c>
      <c r="AG69" s="14">
        <f t="shared" si="8"/>
        <v>-157919451.5</v>
      </c>
    </row>
    <row r="70">
      <c r="A70" s="2">
        <v>68.0</v>
      </c>
      <c r="B70" s="15">
        <f>EDATE(Setup!B2,A70)</f>
        <v>48348</v>
      </c>
      <c r="C70" s="2" t="str">
        <f>IF(A70=0,"T0",IF(A70&lt;=Drivers!B19,"Preconstruction",IF(A70&lt;=(Drivers!B19+Drivers!B20),"Construction","Trading")))</f>
        <v>Trading</v>
      </c>
      <c r="D70" s="12">
        <f t="array" ref="D70">IF(AND(A70&gt;Drivers!B19,A70&lt;=(Drivers!B19+Drivers!B20)),SIN(PI()*(A70-Drivers!B19-0.5)/Drivers!B20)/SUMPRODUCT(SIN(PI()*(SEQUENCE(Drivers!B20,1)-0.5)/Drivers!B20)),0)</f>
        <v>0</v>
      </c>
      <c r="E70" s="14">
        <f>(Summary!B10+Summary!B12)*D70*(1+Drivers!B21)^(A70/12)</f>
        <v>0</v>
      </c>
      <c r="F70" s="14">
        <f>IF(AND(A70&gt;0,A70&lt;=Drivers!B19),Summary!B11*Drivers!B40/Drivers!B19*(1+Drivers!B21)^(A70/12),Summary!B11*(1-Drivers!B40 )*D70*(1+Drivers!B21)^(A70/12))</f>
        <v>0</v>
      </c>
      <c r="G70" s="14">
        <f>IF(AND(A70&gt;0,A70&lt;=2),Drivers!B16/2,0)</f>
        <v>0</v>
      </c>
      <c r="H70" s="14">
        <f>IF(A70=(Drivers!B19+Drivers!B20),Drivers!B17*(1+Drivers!B21)^(A70/12),0)</f>
        <v>0</v>
      </c>
      <c r="I70" s="14">
        <f>IF(AND(A70&gt;0,A70&lt;=(Drivers!B19+Drivers!B20)),Drivers!B18*(1+Drivers!B23)^(A70/12),0)</f>
        <v>0</v>
      </c>
      <c r="J70" s="14">
        <f t="shared" si="1"/>
        <v>0</v>
      </c>
      <c r="K70" s="12">
        <f>IF(A70&gt;(Drivers!B19+Drivers!B20),MIN(1,0.5+0.5*(A70-(Drivers!B19+Drivers!B20))/Drivers!B39),0)</f>
        <v>1</v>
      </c>
      <c r="L70" s="14">
        <f>Drivers!B2*(B70-B69)*Drivers!B24*(1+Drivers!B22)^(A70/12)*Drivers!B25*K70</f>
        <v>1011596.399</v>
      </c>
      <c r="M70" s="14">
        <f>L70*Drivers!B26</f>
        <v>202319.2799</v>
      </c>
      <c r="N70" s="14">
        <f>(L70+M70)*Drivers!B27</f>
        <v>424870.4878</v>
      </c>
      <c r="O70" s="14">
        <f>IF(A70&gt;(Drivers!B19+Drivers!B20),Drivers!B28/12*(1+Drivers!B23)^(A70/12),0)</f>
        <v>416294.8146</v>
      </c>
      <c r="P70" s="14">
        <f>(L70+M70)*Drivers!B29</f>
        <v>48556.62717</v>
      </c>
      <c r="Q70" s="14">
        <f>Drivers!B3*Drivers!B30*(1+Drivers!B22)^(A70/12)*Drivers!B31*(1-Drivers!B32 )*K70</f>
        <v>79616.38329</v>
      </c>
      <c r="R70" s="14">
        <f>IF(A70&gt;(Drivers!B19+Drivers!B20),Drivers!B33/12*(1+Drivers!B23)^(A70/12),0)</f>
        <v>62444.22219</v>
      </c>
      <c r="S70" s="14">
        <f t="shared" si="2"/>
        <v>341365.9109</v>
      </c>
      <c r="T70" s="14">
        <f t="shared" si="6"/>
        <v>20815552.19</v>
      </c>
      <c r="U70" s="14">
        <f>IF(AND(A70&gt;Drivers!B19,A70&lt;=(Drivers!B19+Drivers!B20)),Summary!B31*D70,0)</f>
        <v>0</v>
      </c>
      <c r="V70" s="14">
        <f>IF(A70&lt;=(Drivers!B19+Drivers!B20),(T70+U70/2)*Drivers!B36/12,T70*Drivers!B36/12)</f>
        <v>199482.3751</v>
      </c>
      <c r="W70" s="14">
        <f>IF(A70&gt;(Drivers!B19+Drivers!B20),MIN(T70,MAX(0,Summary!B32/12-V70)),0)</f>
        <v>58919.47929</v>
      </c>
      <c r="X70" s="14">
        <f>IF(A70=(Drivers!B19+1),Summary!B31*Drivers!B38,0)</f>
        <v>0</v>
      </c>
      <c r="Y70" s="14">
        <f t="shared" si="3"/>
        <v>20756632.71</v>
      </c>
      <c r="Z70" s="14">
        <f t="shared" si="4"/>
        <v>82964.0565</v>
      </c>
      <c r="AA70" s="14">
        <f t="shared" si="7"/>
        <v>-144416317</v>
      </c>
      <c r="AB70" s="14">
        <f t="shared" si="5"/>
        <v>341365.9109</v>
      </c>
      <c r="AC70" s="14">
        <f>(E70+F70+G70+H70)*Drivers!B45</f>
        <v>0</v>
      </c>
      <c r="AD70" s="14">
        <f>IF(A70&lt;=Summary!B18,AB70+IF(A70=Summary!B18,Summary!B40,0),0)</f>
        <v>341365.9109</v>
      </c>
      <c r="AE70" s="14">
        <f>IF(A70&lt;=Summary!B18,Z70+IF(A70=Summary!B18,Summary!B40-Y70,0),0)</f>
        <v>82964.0565</v>
      </c>
      <c r="AF70" s="14">
        <f>AD70-IF(A70=0,Drivers!B44,0)</f>
        <v>341365.9109</v>
      </c>
      <c r="AG70" s="14">
        <f t="shared" si="8"/>
        <v>-157578085.6</v>
      </c>
    </row>
    <row r="71">
      <c r="A71" s="2">
        <v>69.0</v>
      </c>
      <c r="B71" s="15">
        <f>EDATE(Setup!B2,A71)</f>
        <v>48379</v>
      </c>
      <c r="C71" s="2" t="str">
        <f>IF(A71=0,"T0",IF(A71&lt;=Drivers!B19,"Preconstruction",IF(A71&lt;=(Drivers!B19+Drivers!B20),"Construction","Trading")))</f>
        <v>Trading</v>
      </c>
      <c r="D71" s="12">
        <f t="array" ref="D71">IF(AND(A71&gt;Drivers!B19,A71&lt;=(Drivers!B19+Drivers!B20)),SIN(PI()*(A71-Drivers!B19-0.5)/Drivers!B20)/SUMPRODUCT(SIN(PI()*(SEQUENCE(Drivers!B20,1)-0.5)/Drivers!B20)),0)</f>
        <v>0</v>
      </c>
      <c r="E71" s="14">
        <f>(Summary!B10+Summary!B12)*D71*(1+Drivers!B21)^(A71/12)</f>
        <v>0</v>
      </c>
      <c r="F71" s="14">
        <f>IF(AND(A71&gt;0,A71&lt;=Drivers!B19),Summary!B11*Drivers!B40/Drivers!B19*(1+Drivers!B21)^(A71/12),Summary!B11*(1-Drivers!B40 )*D71*(1+Drivers!B21)^(A71/12))</f>
        <v>0</v>
      </c>
      <c r="G71" s="14">
        <f>IF(AND(A71&gt;0,A71&lt;=2),Drivers!B16/2,0)</f>
        <v>0</v>
      </c>
      <c r="H71" s="14">
        <f>IF(A71=(Drivers!B19+Drivers!B20),Drivers!B17*(1+Drivers!B21)^(A71/12),0)</f>
        <v>0</v>
      </c>
      <c r="I71" s="14">
        <f>IF(AND(A71&gt;0,A71&lt;=(Drivers!B19+Drivers!B20)),Drivers!B18*(1+Drivers!B23)^(A71/12),0)</f>
        <v>0</v>
      </c>
      <c r="J71" s="14">
        <f t="shared" si="1"/>
        <v>0</v>
      </c>
      <c r="K71" s="12">
        <f>IF(A71&gt;(Drivers!B19+Drivers!B20),MIN(1,0.5+0.5*(A71-(Drivers!B19+Drivers!B20))/Drivers!B39),0)</f>
        <v>1</v>
      </c>
      <c r="L71" s="14">
        <f>Drivers!B2*(B71-B70)*Drivers!B24*(1+Drivers!B22)^(A71/12)*Drivers!B25*K71</f>
        <v>1048738.373</v>
      </c>
      <c r="M71" s="14">
        <f>L71*Drivers!B26</f>
        <v>209747.6746</v>
      </c>
      <c r="N71" s="14">
        <f>(L71+M71)*Drivers!B27</f>
        <v>440470.1166</v>
      </c>
      <c r="O71" s="14">
        <f>IF(A71&gt;(Drivers!B19+Drivers!B20),Drivers!B28/12*(1+Drivers!B23)^(A71/12),0)</f>
        <v>417657.6555</v>
      </c>
      <c r="P71" s="14">
        <f>(L71+M71)*Drivers!B29</f>
        <v>50339.4419</v>
      </c>
      <c r="Q71" s="14">
        <f>Drivers!B3*Drivers!B30*(1+Drivers!B22)^(A71/12)*Drivers!B31*(1-Drivers!B32 )*K71</f>
        <v>79877.02661</v>
      </c>
      <c r="R71" s="14">
        <f>IF(A71&gt;(Drivers!B19+Drivers!B20),Drivers!B33/12*(1+Drivers!B23)^(A71/12),0)</f>
        <v>62648.64832</v>
      </c>
      <c r="S71" s="14">
        <f t="shared" si="2"/>
        <v>367247.2118</v>
      </c>
      <c r="T71" s="14">
        <f t="shared" si="6"/>
        <v>20756632.71</v>
      </c>
      <c r="U71" s="14">
        <f>IF(AND(A71&gt;Drivers!B19,A71&lt;=(Drivers!B19+Drivers!B20)),Summary!B31*D71,0)</f>
        <v>0</v>
      </c>
      <c r="V71" s="14">
        <f>IF(A71&lt;=(Drivers!B19+Drivers!B20),(T71+U71/2)*Drivers!B36/12,T71*Drivers!B36/12)</f>
        <v>198917.7301</v>
      </c>
      <c r="W71" s="14">
        <f>IF(A71&gt;(Drivers!B19+Drivers!B20),MIN(T71,MAX(0,Summary!B32/12-V71)),0)</f>
        <v>59484.1243</v>
      </c>
      <c r="X71" s="14">
        <f>IF(A71=(Drivers!B19+1),Summary!B31*Drivers!B38,0)</f>
        <v>0</v>
      </c>
      <c r="Y71" s="14">
        <f t="shared" si="3"/>
        <v>20697148.58</v>
      </c>
      <c r="Z71" s="14">
        <f t="shared" si="4"/>
        <v>108845.3574</v>
      </c>
      <c r="AA71" s="14">
        <f t="shared" si="7"/>
        <v>-144307471.7</v>
      </c>
      <c r="AB71" s="14">
        <f t="shared" si="5"/>
        <v>367247.2118</v>
      </c>
      <c r="AC71" s="14">
        <f>(E71+F71+G71+H71)*Drivers!B45</f>
        <v>0</v>
      </c>
      <c r="AD71" s="14">
        <f>IF(A71&lt;=Summary!B18,AB71+IF(A71=Summary!B18,Summary!B40,0),0)</f>
        <v>367247.2118</v>
      </c>
      <c r="AE71" s="14">
        <f>IF(A71&lt;=Summary!B18,Z71+IF(A71=Summary!B18,Summary!B40-Y71,0),0)</f>
        <v>108845.3574</v>
      </c>
      <c r="AF71" s="14">
        <f>AD71-IF(A71=0,Drivers!B44,0)</f>
        <v>367247.2118</v>
      </c>
      <c r="AG71" s="14">
        <f t="shared" si="8"/>
        <v>-157210838.4</v>
      </c>
    </row>
    <row r="72">
      <c r="A72" s="2">
        <v>70.0</v>
      </c>
      <c r="B72" s="15">
        <f>EDATE(Setup!B2,A72)</f>
        <v>48409</v>
      </c>
      <c r="C72" s="2" t="str">
        <f>IF(A72=0,"T0",IF(A72&lt;=Drivers!B19,"Preconstruction",IF(A72&lt;=(Drivers!B19+Drivers!B20),"Construction","Trading")))</f>
        <v>Trading</v>
      </c>
      <c r="D72" s="12">
        <f t="array" ref="D72">IF(AND(A72&gt;Drivers!B19,A72&lt;=(Drivers!B19+Drivers!B20)),SIN(PI()*(A72-Drivers!B19-0.5)/Drivers!B20)/SUMPRODUCT(SIN(PI()*(SEQUENCE(Drivers!B20,1)-0.5)/Drivers!B20)),0)</f>
        <v>0</v>
      </c>
      <c r="E72" s="14">
        <f>(Summary!B10+Summary!B12)*D72*(1+Drivers!B21)^(A72/12)</f>
        <v>0</v>
      </c>
      <c r="F72" s="14">
        <f>IF(AND(A72&gt;0,A72&lt;=Drivers!B19),Summary!B11*Drivers!B40/Drivers!B19*(1+Drivers!B21)^(A72/12),Summary!B11*(1-Drivers!B40 )*D72*(1+Drivers!B21)^(A72/12))</f>
        <v>0</v>
      </c>
      <c r="G72" s="14">
        <f>IF(AND(A72&gt;0,A72&lt;=2),Drivers!B16/2,0)</f>
        <v>0</v>
      </c>
      <c r="H72" s="14">
        <f>IF(A72=(Drivers!B19+Drivers!B20),Drivers!B17*(1+Drivers!B21)^(A72/12),0)</f>
        <v>0</v>
      </c>
      <c r="I72" s="14">
        <f>IF(AND(A72&gt;0,A72&lt;=(Drivers!B19+Drivers!B20)),Drivers!B18*(1+Drivers!B23)^(A72/12),0)</f>
        <v>0</v>
      </c>
      <c r="J72" s="14">
        <f t="shared" si="1"/>
        <v>0</v>
      </c>
      <c r="K72" s="12">
        <f>IF(A72&gt;(Drivers!B19+Drivers!B20),MIN(1,0.5+0.5*(A72-(Drivers!B19+Drivers!B20))/Drivers!B39),0)</f>
        <v>1</v>
      </c>
      <c r="L72" s="14">
        <f>Drivers!B2*(B72-B71)*Drivers!B24*(1+Drivers!B22)^(A72/12)*Drivers!B25*K72</f>
        <v>1018230.648</v>
      </c>
      <c r="M72" s="14">
        <f>L72*Drivers!B26</f>
        <v>203646.1296</v>
      </c>
      <c r="N72" s="14">
        <f>(L72+M72)*Drivers!B27</f>
        <v>427656.8721</v>
      </c>
      <c r="O72" s="14">
        <f>IF(A72&gt;(Drivers!B19+Drivers!B20),Drivers!B28/12*(1+Drivers!B23)^(A72/12),0)</f>
        <v>419024.958</v>
      </c>
      <c r="P72" s="14">
        <f>(L72+M72)*Drivers!B29</f>
        <v>48875.0711</v>
      </c>
      <c r="Q72" s="14">
        <f>Drivers!B3*Drivers!B30*(1+Drivers!B22)^(A72/12)*Drivers!B31*(1-Drivers!B32 )*K72</f>
        <v>80138.52321</v>
      </c>
      <c r="R72" s="14">
        <f>IF(A72&gt;(Drivers!B19+Drivers!B20),Drivers!B33/12*(1+Drivers!B23)^(A72/12),0)</f>
        <v>62853.7437</v>
      </c>
      <c r="S72" s="14">
        <f t="shared" si="2"/>
        <v>343604.6558</v>
      </c>
      <c r="T72" s="14">
        <f t="shared" si="6"/>
        <v>20697148.58</v>
      </c>
      <c r="U72" s="14">
        <f>IF(AND(A72&gt;Drivers!B19,A72&lt;=(Drivers!B19+Drivers!B20)),Summary!B31*D72,0)</f>
        <v>0</v>
      </c>
      <c r="V72" s="14">
        <f>IF(A72&lt;=(Drivers!B19+Drivers!B20),(T72+U72/2)*Drivers!B36/12,T72*Drivers!B36/12)</f>
        <v>198347.6739</v>
      </c>
      <c r="W72" s="14">
        <f>IF(A72&gt;(Drivers!B19+Drivers!B20),MIN(T72,MAX(0,Summary!B32/12-V72)),0)</f>
        <v>60054.18049</v>
      </c>
      <c r="X72" s="14">
        <f>IF(A72=(Drivers!B19+1),Summary!B31*Drivers!B38,0)</f>
        <v>0</v>
      </c>
      <c r="Y72" s="14">
        <f t="shared" si="3"/>
        <v>20637094.4</v>
      </c>
      <c r="Z72" s="14">
        <f t="shared" si="4"/>
        <v>85202.80137</v>
      </c>
      <c r="AA72" s="14">
        <f t="shared" si="7"/>
        <v>-144222268.9</v>
      </c>
      <c r="AB72" s="14">
        <f t="shared" si="5"/>
        <v>343604.6558</v>
      </c>
      <c r="AC72" s="14">
        <f>(E72+F72+G72+H72)*Drivers!B45</f>
        <v>0</v>
      </c>
      <c r="AD72" s="14">
        <f>IF(A72&lt;=Summary!B18,AB72+IF(A72=Summary!B18,Summary!B40,0),0)</f>
        <v>343604.6558</v>
      </c>
      <c r="AE72" s="14">
        <f>IF(A72&lt;=Summary!B18,Z72+IF(A72=Summary!B18,Summary!B40-Y72,0),0)</f>
        <v>85202.80137</v>
      </c>
      <c r="AF72" s="14">
        <f>AD72-IF(A72=0,Drivers!B44,0)</f>
        <v>343604.6558</v>
      </c>
      <c r="AG72" s="14">
        <f t="shared" si="8"/>
        <v>-156867233.7</v>
      </c>
    </row>
    <row r="73">
      <c r="A73" s="2">
        <v>71.0</v>
      </c>
      <c r="B73" s="15">
        <f>EDATE(Setup!B2,A73)</f>
        <v>48440</v>
      </c>
      <c r="C73" s="2" t="str">
        <f>IF(A73=0,"T0",IF(A73&lt;=Drivers!B19,"Preconstruction",IF(A73&lt;=(Drivers!B19+Drivers!B20),"Construction","Trading")))</f>
        <v>Trading</v>
      </c>
      <c r="D73" s="12">
        <f t="array" ref="D73">IF(AND(A73&gt;Drivers!B19,A73&lt;=(Drivers!B19+Drivers!B20)),SIN(PI()*(A73-Drivers!B19-0.5)/Drivers!B20)/SUMPRODUCT(SIN(PI()*(SEQUENCE(Drivers!B20,1)-0.5)/Drivers!B20)),0)</f>
        <v>0</v>
      </c>
      <c r="E73" s="14">
        <f>(Summary!B10+Summary!B12)*D73*(1+Drivers!B21)^(A73/12)</f>
        <v>0</v>
      </c>
      <c r="F73" s="14">
        <f>IF(AND(A73&gt;0,A73&lt;=Drivers!B19),Summary!B11*Drivers!B40/Drivers!B19*(1+Drivers!B21)^(A73/12),Summary!B11*(1-Drivers!B40 )*D73*(1+Drivers!B21)^(A73/12))</f>
        <v>0</v>
      </c>
      <c r="G73" s="14">
        <f>IF(AND(A73&gt;0,A73&lt;=2),Drivers!B16/2,0)</f>
        <v>0</v>
      </c>
      <c r="H73" s="14">
        <f>IF(A73=(Drivers!B19+Drivers!B20),Drivers!B17*(1+Drivers!B21)^(A73/12),0)</f>
        <v>0</v>
      </c>
      <c r="I73" s="14">
        <f>IF(AND(A73&gt;0,A73&lt;=(Drivers!B19+Drivers!B20)),Drivers!B18*(1+Drivers!B23)^(A73/12),0)</f>
        <v>0</v>
      </c>
      <c r="J73" s="14">
        <f t="shared" si="1"/>
        <v>0</v>
      </c>
      <c r="K73" s="12">
        <f>IF(A73&gt;(Drivers!B19+Drivers!B20),MIN(1,0.5+0.5*(A73-(Drivers!B19+Drivers!B20))/Drivers!B39),0)</f>
        <v>1</v>
      </c>
      <c r="L73" s="14">
        <f>Drivers!B2*(B73-B72)*Drivers!B24*(1+Drivers!B22)^(A73/12)*Drivers!B25*K73</f>
        <v>1055616.206</v>
      </c>
      <c r="M73" s="14">
        <f>L73*Drivers!B26</f>
        <v>211123.2411</v>
      </c>
      <c r="N73" s="14">
        <f>(L73+M73)*Drivers!B27</f>
        <v>443358.8064</v>
      </c>
      <c r="O73" s="14">
        <f>IF(A73&gt;(Drivers!B19+Drivers!B20),Drivers!B28/12*(1+Drivers!B23)^(A73/12),0)</f>
        <v>420396.7366</v>
      </c>
      <c r="P73" s="14">
        <f>(L73+M73)*Drivers!B29</f>
        <v>50669.57787</v>
      </c>
      <c r="Q73" s="14">
        <f>Drivers!B3*Drivers!B30*(1+Drivers!B22)^(A73/12)*Drivers!B31*(1-Drivers!B32 )*K73</f>
        <v>80400.87588</v>
      </c>
      <c r="R73" s="14">
        <f>IF(A73&gt;(Drivers!B19+Drivers!B20),Drivers!B33/12*(1+Drivers!B23)^(A73/12),0)</f>
        <v>63059.5105</v>
      </c>
      <c r="S73" s="14">
        <f t="shared" si="2"/>
        <v>369655.6913</v>
      </c>
      <c r="T73" s="14">
        <f t="shared" si="6"/>
        <v>20637094.4</v>
      </c>
      <c r="U73" s="14">
        <f>IF(AND(A73&gt;Drivers!B19,A73&lt;=(Drivers!B19+Drivers!B20)),Summary!B31*D73,0)</f>
        <v>0</v>
      </c>
      <c r="V73" s="14">
        <f>IF(A73&lt;=(Drivers!B19+Drivers!B20),(T73+U73/2)*Drivers!B36/12,T73*Drivers!B36/12)</f>
        <v>197772.1547</v>
      </c>
      <c r="W73" s="14">
        <f>IF(A73&gt;(Drivers!B19+Drivers!B20),MIN(T73,MAX(0,Summary!B32/12-V73)),0)</f>
        <v>60629.69972</v>
      </c>
      <c r="X73" s="14">
        <f>IF(A73=(Drivers!B19+1),Summary!B31*Drivers!B38,0)</f>
        <v>0</v>
      </c>
      <c r="Y73" s="14">
        <f t="shared" si="3"/>
        <v>20576464.7</v>
      </c>
      <c r="Z73" s="14">
        <f t="shared" si="4"/>
        <v>111253.8369</v>
      </c>
      <c r="AA73" s="14">
        <f t="shared" si="7"/>
        <v>-144111015</v>
      </c>
      <c r="AB73" s="14">
        <f t="shared" si="5"/>
        <v>369655.6913</v>
      </c>
      <c r="AC73" s="14">
        <f>(E73+F73+G73+H73)*Drivers!B45</f>
        <v>0</v>
      </c>
      <c r="AD73" s="14">
        <f>IF(A73&lt;=Summary!B18,AB73+IF(A73=Summary!B18,Summary!B40,0),0)</f>
        <v>369655.6913</v>
      </c>
      <c r="AE73" s="14">
        <f>IF(A73&lt;=Summary!B18,Z73+IF(A73=Summary!B18,Summary!B40-Y73,0),0)</f>
        <v>111253.8369</v>
      </c>
      <c r="AF73" s="14">
        <f>AD73-IF(A73=0,Drivers!B44,0)</f>
        <v>369655.6913</v>
      </c>
      <c r="AG73" s="14">
        <f t="shared" si="8"/>
        <v>-156497578</v>
      </c>
    </row>
    <row r="74">
      <c r="A74" s="2">
        <v>72.0</v>
      </c>
      <c r="B74" s="15">
        <f>EDATE(Setup!B2,A74)</f>
        <v>48471</v>
      </c>
      <c r="C74" s="2" t="str">
        <f>IF(A74=0,"T0",IF(A74&lt;=Drivers!B19,"Preconstruction",IF(A74&lt;=(Drivers!B19+Drivers!B20),"Construction","Trading")))</f>
        <v>Trading</v>
      </c>
      <c r="D74" s="12">
        <f t="array" ref="D74">IF(AND(A74&gt;Drivers!B19,A74&lt;=(Drivers!B19+Drivers!B20)),SIN(PI()*(A74-Drivers!B19-0.5)/Drivers!B20)/SUMPRODUCT(SIN(PI()*(SEQUENCE(Drivers!B20,1)-0.5)/Drivers!B20)),0)</f>
        <v>0</v>
      </c>
      <c r="E74" s="14">
        <f>(Summary!B10+Summary!B12)*D74*(1+Drivers!B21)^(A74/12)</f>
        <v>0</v>
      </c>
      <c r="F74" s="14">
        <f>IF(AND(A74&gt;0,A74&lt;=Drivers!B19),Summary!B11*Drivers!B40/Drivers!B19*(1+Drivers!B21)^(A74/12),Summary!B11*(1-Drivers!B40 )*D74*(1+Drivers!B21)^(A74/12))</f>
        <v>0</v>
      </c>
      <c r="G74" s="14">
        <f>IF(AND(A74&gt;0,A74&lt;=2),Drivers!B16/2,0)</f>
        <v>0</v>
      </c>
      <c r="H74" s="14">
        <f>IF(A74=(Drivers!B19+Drivers!B20),Drivers!B17*(1+Drivers!B21)^(A74/12),0)</f>
        <v>0</v>
      </c>
      <c r="I74" s="14">
        <f>IF(AND(A74&gt;0,A74&lt;=(Drivers!B19+Drivers!B20)),Drivers!B18*(1+Drivers!B23)^(A74/12),0)</f>
        <v>0</v>
      </c>
      <c r="J74" s="14">
        <f t="shared" si="1"/>
        <v>0</v>
      </c>
      <c r="K74" s="12">
        <f>IF(A74&gt;(Drivers!B19+Drivers!B20),MIN(1,0.5+0.5*(A74-(Drivers!B19+Drivers!B20))/Drivers!B39),0)</f>
        <v>1</v>
      </c>
      <c r="L74" s="14">
        <f>Drivers!B2*(B74-B73)*Drivers!B24*(1+Drivers!B22)^(A74/12)*Drivers!B25*K74</f>
        <v>1059072.018</v>
      </c>
      <c r="M74" s="14">
        <f>L74*Drivers!B26</f>
        <v>211814.4037</v>
      </c>
      <c r="N74" s="14">
        <f>(L74+M74)*Drivers!B27</f>
        <v>444810.2478</v>
      </c>
      <c r="O74" s="14">
        <f>IF(A74&gt;(Drivers!B19+Drivers!B20),Drivers!B28/12*(1+Drivers!B23)^(A74/12),0)</f>
        <v>421773.0062</v>
      </c>
      <c r="P74" s="14">
        <f>(L74+M74)*Drivers!B29</f>
        <v>50835.45689</v>
      </c>
      <c r="Q74" s="14">
        <f>Drivers!B3*Drivers!B30*(1+Drivers!B22)^(A74/12)*Drivers!B31*(1-Drivers!B32 )*K74</f>
        <v>80664.08743</v>
      </c>
      <c r="R74" s="14">
        <f>IF(A74&gt;(Drivers!B19+Drivers!B20),Drivers!B33/12*(1+Drivers!B23)^(A74/12),0)</f>
        <v>63265.95092</v>
      </c>
      <c r="S74" s="14">
        <f t="shared" si="2"/>
        <v>370865.8479</v>
      </c>
      <c r="T74" s="14">
        <f t="shared" si="6"/>
        <v>20576464.7</v>
      </c>
      <c r="U74" s="14">
        <f>IF(AND(A74&gt;Drivers!B19,A74&lt;=(Drivers!B19+Drivers!B20)),Summary!B31*D74,0)</f>
        <v>0</v>
      </c>
      <c r="V74" s="14">
        <f>IF(A74&lt;=(Drivers!B19+Drivers!B20),(T74+U74/2)*Drivers!B36/12,T74*Drivers!B36/12)</f>
        <v>197191.1201</v>
      </c>
      <c r="W74" s="14">
        <f>IF(A74&gt;(Drivers!B19+Drivers!B20),MIN(T74,MAX(0,Summary!B32/12-V74)),0)</f>
        <v>61210.73434</v>
      </c>
      <c r="X74" s="14">
        <f>IF(A74=(Drivers!B19+1),Summary!B31*Drivers!B38,0)</f>
        <v>0</v>
      </c>
      <c r="Y74" s="14">
        <f t="shared" si="3"/>
        <v>20515253.97</v>
      </c>
      <c r="Z74" s="14">
        <f t="shared" si="4"/>
        <v>112463.9935</v>
      </c>
      <c r="AA74" s="14">
        <f t="shared" si="7"/>
        <v>-143998551</v>
      </c>
      <c r="AB74" s="14">
        <f t="shared" si="5"/>
        <v>370865.8479</v>
      </c>
      <c r="AC74" s="14">
        <f>(E74+F74+G74+H74)*Drivers!B45</f>
        <v>0</v>
      </c>
      <c r="AD74" s="14">
        <f>IF(A74&lt;=Summary!B18,AB74+IF(A74=Summary!B18,Summary!B40,0),0)</f>
        <v>370865.8479</v>
      </c>
      <c r="AE74" s="14">
        <f>IF(A74&lt;=Summary!B18,Z74+IF(A74=Summary!B18,Summary!B40-Y74,0),0)</f>
        <v>112463.9935</v>
      </c>
      <c r="AF74" s="14">
        <f>AD74-IF(A74=0,Drivers!B44,0)</f>
        <v>370865.8479</v>
      </c>
      <c r="AG74" s="14">
        <f t="shared" si="8"/>
        <v>-156126712.2</v>
      </c>
    </row>
    <row r="75">
      <c r="A75" s="2">
        <v>73.0</v>
      </c>
      <c r="B75" s="15">
        <f>EDATE(Setup!B2,A75)</f>
        <v>48501</v>
      </c>
      <c r="C75" s="2" t="str">
        <f>IF(A75=0,"T0",IF(A75&lt;=Drivers!B19,"Preconstruction",IF(A75&lt;=(Drivers!B19+Drivers!B20),"Construction","Trading")))</f>
        <v>Trading</v>
      </c>
      <c r="D75" s="12">
        <f t="array" ref="D75">IF(AND(A75&gt;Drivers!B19,A75&lt;=(Drivers!B19+Drivers!B20)),SIN(PI()*(A75-Drivers!B19-0.5)/Drivers!B20)/SUMPRODUCT(SIN(PI()*(SEQUENCE(Drivers!B20,1)-0.5)/Drivers!B20)),0)</f>
        <v>0</v>
      </c>
      <c r="E75" s="14">
        <f>(Summary!B10+Summary!B12)*D75*(1+Drivers!B21)^(A75/12)</f>
        <v>0</v>
      </c>
      <c r="F75" s="14">
        <f>IF(AND(A75&gt;0,A75&lt;=Drivers!B19),Summary!B11*Drivers!B40/Drivers!B19*(1+Drivers!B21)^(A75/12),Summary!B11*(1-Drivers!B40 )*D75*(1+Drivers!B21)^(A75/12))</f>
        <v>0</v>
      </c>
      <c r="G75" s="14">
        <f>IF(AND(A75&gt;0,A75&lt;=2),Drivers!B16/2,0)</f>
        <v>0</v>
      </c>
      <c r="H75" s="14">
        <f>IF(A75=(Drivers!B19+Drivers!B20),Drivers!B17*(1+Drivers!B21)^(A75/12),0)</f>
        <v>0</v>
      </c>
      <c r="I75" s="14">
        <f>IF(AND(A75&gt;0,A75&lt;=(Drivers!B19+Drivers!B20)),Drivers!B18*(1+Drivers!B23)^(A75/12),0)</f>
        <v>0</v>
      </c>
      <c r="J75" s="14">
        <f t="shared" si="1"/>
        <v>0</v>
      </c>
      <c r="K75" s="12">
        <f>IF(A75&gt;(Drivers!B19+Drivers!B20),MIN(1,0.5+0.5*(A75-(Drivers!B19+Drivers!B20))/Drivers!B39),0)</f>
        <v>1</v>
      </c>
      <c r="L75" s="14">
        <f>Drivers!B2*(B75-B74)*Drivers!B24*(1+Drivers!B22)^(A75/12)*Drivers!B25*K75</f>
        <v>1028263.688</v>
      </c>
      <c r="M75" s="14">
        <f>L75*Drivers!B26</f>
        <v>205652.7377</v>
      </c>
      <c r="N75" s="14">
        <f>(L75+M75)*Drivers!B27</f>
        <v>431870.7491</v>
      </c>
      <c r="O75" s="14">
        <f>IF(A75&gt;(Drivers!B19+Drivers!B20),Drivers!B28/12*(1+Drivers!B23)^(A75/12),0)</f>
        <v>423153.7812</v>
      </c>
      <c r="P75" s="14">
        <f>(L75+M75)*Drivers!B29</f>
        <v>49356.65704</v>
      </c>
      <c r="Q75" s="14">
        <f>Drivers!B3*Drivers!B30*(1+Drivers!B22)^(A75/12)*Drivers!B31*(1-Drivers!B32 )*K75</f>
        <v>80928.16066</v>
      </c>
      <c r="R75" s="14">
        <f>IF(A75&gt;(Drivers!B19+Drivers!B20),Drivers!B33/12*(1+Drivers!B23)^(A75/12),0)</f>
        <v>63473.06719</v>
      </c>
      <c r="S75" s="14">
        <f t="shared" si="2"/>
        <v>346990.3322</v>
      </c>
      <c r="T75" s="14">
        <f t="shared" si="6"/>
        <v>20515253.97</v>
      </c>
      <c r="U75" s="14">
        <f>IF(AND(A75&gt;Drivers!B19,A75&lt;=(Drivers!B19+Drivers!B20)),Summary!B31*D75,0)</f>
        <v>0</v>
      </c>
      <c r="V75" s="14">
        <f>IF(A75&lt;=(Drivers!B19+Drivers!B20),(T75+U75/2)*Drivers!B36/12,T75*Drivers!B36/12)</f>
        <v>196604.5172</v>
      </c>
      <c r="W75" s="14">
        <f>IF(A75&gt;(Drivers!B19+Drivers!B20),MIN(T75,MAX(0,Summary!B32/12-V75)),0)</f>
        <v>61797.33721</v>
      </c>
      <c r="X75" s="14">
        <f>IF(A75=(Drivers!B19+1),Summary!B31*Drivers!B38,0)</f>
        <v>0</v>
      </c>
      <c r="Y75" s="14">
        <f t="shared" si="3"/>
        <v>20453456.63</v>
      </c>
      <c r="Z75" s="14">
        <f t="shared" si="4"/>
        <v>88588.47773</v>
      </c>
      <c r="AA75" s="14">
        <f t="shared" si="7"/>
        <v>-143909962.6</v>
      </c>
      <c r="AB75" s="14">
        <f t="shared" si="5"/>
        <v>346990.3322</v>
      </c>
      <c r="AC75" s="14">
        <f>(E75+F75+G75+H75)*Drivers!B45</f>
        <v>0</v>
      </c>
      <c r="AD75" s="14">
        <f>IF(A75&lt;=Summary!B18,AB75+IF(A75=Summary!B18,Summary!B40,0),0)</f>
        <v>346990.3322</v>
      </c>
      <c r="AE75" s="14">
        <f>IF(A75&lt;=Summary!B18,Z75+IF(A75=Summary!B18,Summary!B40-Y75,0),0)</f>
        <v>88588.47773</v>
      </c>
      <c r="AF75" s="14">
        <f>AD75-IF(A75=0,Drivers!B44,0)</f>
        <v>346990.3322</v>
      </c>
      <c r="AG75" s="14">
        <f t="shared" si="8"/>
        <v>-155779721.9</v>
      </c>
    </row>
    <row r="76">
      <c r="A76" s="2">
        <v>74.0</v>
      </c>
      <c r="B76" s="15">
        <f>EDATE(Setup!B2,A76)</f>
        <v>48532</v>
      </c>
      <c r="C76" s="2" t="str">
        <f>IF(A76=0,"T0",IF(A76&lt;=Drivers!B19,"Preconstruction",IF(A76&lt;=(Drivers!B19+Drivers!B20),"Construction","Trading")))</f>
        <v>Trading</v>
      </c>
      <c r="D76" s="12">
        <f t="array" ref="D76">IF(AND(A76&gt;Drivers!B19,A76&lt;=(Drivers!B19+Drivers!B20)),SIN(PI()*(A76-Drivers!B19-0.5)/Drivers!B20)/SUMPRODUCT(SIN(PI()*(SEQUENCE(Drivers!B20,1)-0.5)/Drivers!B20)),0)</f>
        <v>0</v>
      </c>
      <c r="E76" s="14">
        <f>(Summary!B10+Summary!B12)*D76*(1+Drivers!B21)^(A76/12)</f>
        <v>0</v>
      </c>
      <c r="F76" s="14">
        <f>IF(AND(A76&gt;0,A76&lt;=Drivers!B19),Summary!B11*Drivers!B40/Drivers!B19*(1+Drivers!B21)^(A76/12),Summary!B11*(1-Drivers!B40 )*D76*(1+Drivers!B21)^(A76/12))</f>
        <v>0</v>
      </c>
      <c r="G76" s="14">
        <f>IF(AND(A76&gt;0,A76&lt;=2),Drivers!B16/2,0)</f>
        <v>0</v>
      </c>
      <c r="H76" s="14">
        <f>IF(A76=(Drivers!B19+Drivers!B20),Drivers!B17*(1+Drivers!B21)^(A76/12),0)</f>
        <v>0</v>
      </c>
      <c r="I76" s="14">
        <f>IF(AND(A76&gt;0,A76&lt;=(Drivers!B19+Drivers!B20)),Drivers!B18*(1+Drivers!B23)^(A76/12),0)</f>
        <v>0</v>
      </c>
      <c r="J76" s="14">
        <f t="shared" si="1"/>
        <v>0</v>
      </c>
      <c r="K76" s="12">
        <f>IF(A76&gt;(Drivers!B19+Drivers!B20),MIN(1,0.5+0.5*(A76-(Drivers!B19+Drivers!B20))/Drivers!B39),0)</f>
        <v>1</v>
      </c>
      <c r="L76" s="14">
        <f>Drivers!B2*(B76-B75)*Drivers!B24*(1+Drivers!B22)^(A76/12)*Drivers!B25*K76</f>
        <v>1066017.621</v>
      </c>
      <c r="M76" s="14">
        <f>L76*Drivers!B26</f>
        <v>213203.5243</v>
      </c>
      <c r="N76" s="14">
        <f>(L76+M76)*Drivers!B27</f>
        <v>447727.401</v>
      </c>
      <c r="O76" s="14">
        <f>IF(A76&gt;(Drivers!B19+Drivers!B20),Drivers!B28/12*(1+Drivers!B23)^(A76/12),0)</f>
        <v>424539.0766</v>
      </c>
      <c r="P76" s="14">
        <f>(L76+M76)*Drivers!B29</f>
        <v>51168.84582</v>
      </c>
      <c r="Q76" s="14">
        <f>Drivers!B3*Drivers!B30*(1+Drivers!B22)^(A76/12)*Drivers!B31*(1-Drivers!B32 )*K76</f>
        <v>81193.0984</v>
      </c>
      <c r="R76" s="14">
        <f>IF(A76&gt;(Drivers!B19+Drivers!B20),Drivers!B33/12*(1+Drivers!B23)^(A76/12),0)</f>
        <v>63680.86149</v>
      </c>
      <c r="S76" s="14">
        <f t="shared" si="2"/>
        <v>373298.0591</v>
      </c>
      <c r="T76" s="14">
        <f t="shared" si="6"/>
        <v>20453456.63</v>
      </c>
      <c r="U76" s="14">
        <f>IF(AND(A76&gt;Drivers!B19,A76&lt;=(Drivers!B19+Drivers!B20)),Summary!B31*D76,0)</f>
        <v>0</v>
      </c>
      <c r="V76" s="14">
        <f>IF(A76&lt;=(Drivers!B19+Drivers!B20),(T76+U76/2)*Drivers!B36/12,T76*Drivers!B36/12)</f>
        <v>196012.2927</v>
      </c>
      <c r="W76" s="14">
        <f>IF(A76&gt;(Drivers!B19+Drivers!B20),MIN(T76,MAX(0,Summary!B32/12-V76)),0)</f>
        <v>62389.56169</v>
      </c>
      <c r="X76" s="14">
        <f>IF(A76=(Drivers!B19+1),Summary!B31*Drivers!B38,0)</f>
        <v>0</v>
      </c>
      <c r="Y76" s="14">
        <f t="shared" si="3"/>
        <v>20391067.07</v>
      </c>
      <c r="Z76" s="14">
        <f t="shared" si="4"/>
        <v>114896.2047</v>
      </c>
      <c r="AA76" s="14">
        <f t="shared" si="7"/>
        <v>-143795066.4</v>
      </c>
      <c r="AB76" s="14">
        <f t="shared" si="5"/>
        <v>373298.0591</v>
      </c>
      <c r="AC76" s="14">
        <f>(E76+F76+G76+H76)*Drivers!B45</f>
        <v>0</v>
      </c>
      <c r="AD76" s="14">
        <f>IF(A76&lt;=Summary!B18,AB76+IF(A76=Summary!B18,Summary!B40,0),0)</f>
        <v>373298.0591</v>
      </c>
      <c r="AE76" s="14">
        <f>IF(A76&lt;=Summary!B18,Z76+IF(A76=Summary!B18,Summary!B40-Y76,0),0)</f>
        <v>114896.2047</v>
      </c>
      <c r="AF76" s="14">
        <f>AD76-IF(A76=0,Drivers!B44,0)</f>
        <v>373298.0591</v>
      </c>
      <c r="AG76" s="14">
        <f t="shared" si="8"/>
        <v>-155406423.8</v>
      </c>
    </row>
    <row r="77">
      <c r="A77" s="2">
        <v>75.0</v>
      </c>
      <c r="B77" s="15">
        <f>EDATE(Setup!B2,A77)</f>
        <v>48562</v>
      </c>
      <c r="C77" s="2" t="str">
        <f>IF(A77=0,"T0",IF(A77&lt;=Drivers!B19,"Preconstruction",IF(A77&lt;=(Drivers!B19+Drivers!B20),"Construction","Trading")))</f>
        <v>Trading</v>
      </c>
      <c r="D77" s="12">
        <f t="array" ref="D77">IF(AND(A77&gt;Drivers!B19,A77&lt;=(Drivers!B19+Drivers!B20)),SIN(PI()*(A77-Drivers!B19-0.5)/Drivers!B20)/SUMPRODUCT(SIN(PI()*(SEQUENCE(Drivers!B20,1)-0.5)/Drivers!B20)),0)</f>
        <v>0</v>
      </c>
      <c r="E77" s="14">
        <f>(Summary!B10+Summary!B12)*D77*(1+Drivers!B21)^(A77/12)</f>
        <v>0</v>
      </c>
      <c r="F77" s="14">
        <f>IF(AND(A77&gt;0,A77&lt;=Drivers!B19),Summary!B11*Drivers!B40/Drivers!B19*(1+Drivers!B21)^(A77/12),Summary!B11*(1-Drivers!B40 )*D77*(1+Drivers!B21)^(A77/12))</f>
        <v>0</v>
      </c>
      <c r="G77" s="14">
        <f>IF(AND(A77&gt;0,A77&lt;=2),Drivers!B16/2,0)</f>
        <v>0</v>
      </c>
      <c r="H77" s="14">
        <f>IF(A77=(Drivers!B19+Drivers!B20),Drivers!B17*(1+Drivers!B21)^(A77/12),0)</f>
        <v>0</v>
      </c>
      <c r="I77" s="14">
        <f>IF(AND(A77&gt;0,A77&lt;=(Drivers!B19+Drivers!B20)),Drivers!B18*(1+Drivers!B23)^(A77/12),0)</f>
        <v>0</v>
      </c>
      <c r="J77" s="14">
        <f t="shared" si="1"/>
        <v>0</v>
      </c>
      <c r="K77" s="12">
        <f>IF(A77&gt;(Drivers!B19+Drivers!B20),MIN(1,0.5+0.5*(A77-(Drivers!B19+Drivers!B20))/Drivers!B39),0)</f>
        <v>1</v>
      </c>
      <c r="L77" s="14">
        <f>Drivers!B2*(B77-B76)*Drivers!B24*(1+Drivers!B22)^(A77/12)*Drivers!B25*K77</f>
        <v>1035007.244</v>
      </c>
      <c r="M77" s="14">
        <f>L77*Drivers!B26</f>
        <v>207001.4488</v>
      </c>
      <c r="N77" s="14">
        <f>(L77+M77)*Drivers!B27</f>
        <v>434703.0426</v>
      </c>
      <c r="O77" s="14">
        <f>IF(A77&gt;(Drivers!B19+Drivers!B20),Drivers!B28/12*(1+Drivers!B23)^(A77/12),0)</f>
        <v>425928.9071</v>
      </c>
      <c r="P77" s="14">
        <f>(L77+M77)*Drivers!B29</f>
        <v>49680.34772</v>
      </c>
      <c r="Q77" s="14">
        <f>Drivers!B3*Drivers!B30*(1+Drivers!B22)^(A77/12)*Drivers!B31*(1-Drivers!B32 )*K77</f>
        <v>81458.90348</v>
      </c>
      <c r="R77" s="14">
        <f>IF(A77&gt;(Drivers!B19+Drivers!B20),Drivers!B33/12*(1+Drivers!B23)^(A77/12),0)</f>
        <v>63889.33606</v>
      </c>
      <c r="S77" s="14">
        <f t="shared" si="2"/>
        <v>349265.9631</v>
      </c>
      <c r="T77" s="14">
        <f t="shared" si="6"/>
        <v>20391067.07</v>
      </c>
      <c r="U77" s="14">
        <f>IF(AND(A77&gt;Drivers!B19,A77&lt;=(Drivers!B19+Drivers!B20)),Summary!B31*D77,0)</f>
        <v>0</v>
      </c>
      <c r="V77" s="14">
        <f>IF(A77&lt;=(Drivers!B19+Drivers!B20),(T77+U77/2)*Drivers!B36/12,T77*Drivers!B36/12)</f>
        <v>195414.3928</v>
      </c>
      <c r="W77" s="14">
        <f>IF(A77&gt;(Drivers!B19+Drivers!B20),MIN(T77,MAX(0,Summary!B32/12-V77)),0)</f>
        <v>62987.46166</v>
      </c>
      <c r="X77" s="14">
        <f>IF(A77=(Drivers!B19+1),Summary!B31*Drivers!B38,0)</f>
        <v>0</v>
      </c>
      <c r="Y77" s="14">
        <f t="shared" si="3"/>
        <v>20328079.61</v>
      </c>
      <c r="Z77" s="14">
        <f t="shared" si="4"/>
        <v>90864.10867</v>
      </c>
      <c r="AA77" s="14">
        <f t="shared" si="7"/>
        <v>-143704202.3</v>
      </c>
      <c r="AB77" s="14">
        <f t="shared" si="5"/>
        <v>349265.9631</v>
      </c>
      <c r="AC77" s="14">
        <f>(E77+F77+G77+H77)*Drivers!B45</f>
        <v>0</v>
      </c>
      <c r="AD77" s="14">
        <f>IF(A77&lt;=Summary!B18,AB77+IF(A77=Summary!B18,Summary!B40,0),0)</f>
        <v>349265.9631</v>
      </c>
      <c r="AE77" s="14">
        <f>IF(A77&lt;=Summary!B18,Z77+IF(A77=Summary!B18,Summary!B40-Y77,0),0)</f>
        <v>90864.10867</v>
      </c>
      <c r="AF77" s="14">
        <f>AD77-IF(A77=0,Drivers!B44,0)</f>
        <v>349265.9631</v>
      </c>
      <c r="AG77" s="14">
        <f t="shared" si="8"/>
        <v>-155057157.8</v>
      </c>
    </row>
    <row r="78">
      <c r="A78" s="2">
        <v>76.0</v>
      </c>
      <c r="B78" s="15">
        <f>EDATE(Setup!B2,A78)</f>
        <v>48593</v>
      </c>
      <c r="C78" s="2" t="str">
        <f>IF(A78=0,"T0",IF(A78&lt;=Drivers!B19,"Preconstruction",IF(A78&lt;=(Drivers!B19+Drivers!B20),"Construction","Trading")))</f>
        <v>Trading</v>
      </c>
      <c r="D78" s="12">
        <f t="array" ref="D78">IF(AND(A78&gt;Drivers!B19,A78&lt;=(Drivers!B19+Drivers!B20)),SIN(PI()*(A78-Drivers!B19-0.5)/Drivers!B20)/SUMPRODUCT(SIN(PI()*(SEQUENCE(Drivers!B20,1)-0.5)/Drivers!B20)),0)</f>
        <v>0</v>
      </c>
      <c r="E78" s="14">
        <f>(Summary!B10+Summary!B12)*D78*(1+Drivers!B21)^(A78/12)</f>
        <v>0</v>
      </c>
      <c r="F78" s="14">
        <f>IF(AND(A78&gt;0,A78&lt;=Drivers!B19),Summary!B11*Drivers!B40/Drivers!B19*(1+Drivers!B21)^(A78/12),Summary!B11*(1-Drivers!B40 )*D78*(1+Drivers!B21)^(A78/12))</f>
        <v>0</v>
      </c>
      <c r="G78" s="14">
        <f>IF(AND(A78&gt;0,A78&lt;=2),Drivers!B16/2,0)</f>
        <v>0</v>
      </c>
      <c r="H78" s="14">
        <f>IF(A78=(Drivers!B19+Drivers!B20),Drivers!B17*(1+Drivers!B21)^(A78/12),0)</f>
        <v>0</v>
      </c>
      <c r="I78" s="14">
        <f>IF(AND(A78&gt;0,A78&lt;=(Drivers!B19+Drivers!B20)),Drivers!B18*(1+Drivers!B23)^(A78/12),0)</f>
        <v>0</v>
      </c>
      <c r="J78" s="14">
        <f t="shared" si="1"/>
        <v>0</v>
      </c>
      <c r="K78" s="12">
        <f>IF(A78&gt;(Drivers!B19+Drivers!B20),MIN(1,0.5+0.5*(A78-(Drivers!B19+Drivers!B20))/Drivers!B39),0)</f>
        <v>1</v>
      </c>
      <c r="L78" s="14">
        <f>Drivers!B2*(B78-B77)*Drivers!B24*(1+Drivers!B22)^(A78/12)*Drivers!B25*K78</f>
        <v>1073008.775</v>
      </c>
      <c r="M78" s="14">
        <f>L78*Drivers!B26</f>
        <v>214601.755</v>
      </c>
      <c r="N78" s="14">
        <f>(L78+M78)*Drivers!B27</f>
        <v>450663.6854</v>
      </c>
      <c r="O78" s="14">
        <f>IF(A78&gt;(Drivers!B19+Drivers!B20),Drivers!B28/12*(1+Drivers!B23)^(A78/12),0)</f>
        <v>427323.2875</v>
      </c>
      <c r="P78" s="14">
        <f>(L78+M78)*Drivers!B29</f>
        <v>51504.42119</v>
      </c>
      <c r="Q78" s="14">
        <f>Drivers!B3*Drivers!B30*(1+Drivers!B22)^(A78/12)*Drivers!B31*(1-Drivers!B32 )*K78</f>
        <v>81725.57873</v>
      </c>
      <c r="R78" s="14">
        <f>IF(A78&gt;(Drivers!B19+Drivers!B20),Drivers!B33/12*(1+Drivers!B23)^(A78/12),0)</f>
        <v>64098.49312</v>
      </c>
      <c r="S78" s="14">
        <f t="shared" si="2"/>
        <v>375746.2213</v>
      </c>
      <c r="T78" s="14">
        <f t="shared" si="6"/>
        <v>20328079.61</v>
      </c>
      <c r="U78" s="14">
        <f>IF(AND(A78&gt;Drivers!B19,A78&lt;=(Drivers!B19+Drivers!B20)),Summary!B31*D78,0)</f>
        <v>0</v>
      </c>
      <c r="V78" s="14">
        <f>IF(A78&lt;=(Drivers!B19+Drivers!B20),(T78+U78/2)*Drivers!B36/12,T78*Drivers!B36/12)</f>
        <v>194810.7629</v>
      </c>
      <c r="W78" s="14">
        <f>IF(A78&gt;(Drivers!B19+Drivers!B20),MIN(T78,MAX(0,Summary!B32/12-V78)),0)</f>
        <v>63591.0915</v>
      </c>
      <c r="X78" s="14">
        <f>IF(A78=(Drivers!B19+1),Summary!B31*Drivers!B38,0)</f>
        <v>0</v>
      </c>
      <c r="Y78" s="14">
        <f t="shared" si="3"/>
        <v>20264488.52</v>
      </c>
      <c r="Z78" s="14">
        <f t="shared" si="4"/>
        <v>117344.3669</v>
      </c>
      <c r="AA78" s="14">
        <f t="shared" si="7"/>
        <v>-143586857.9</v>
      </c>
      <c r="AB78" s="14">
        <f t="shared" si="5"/>
        <v>375746.2213</v>
      </c>
      <c r="AC78" s="14">
        <f>(E78+F78+G78+H78)*Drivers!B45</f>
        <v>0</v>
      </c>
      <c r="AD78" s="14">
        <f>IF(A78&lt;=Summary!B18,AB78+IF(A78=Summary!B18,Summary!B40,0),0)</f>
        <v>375746.2213</v>
      </c>
      <c r="AE78" s="14">
        <f>IF(A78&lt;=Summary!B18,Z78+IF(A78=Summary!B18,Summary!B40-Y78,0),0)</f>
        <v>117344.3669</v>
      </c>
      <c r="AF78" s="14">
        <f>AD78-IF(A78=0,Drivers!B44,0)</f>
        <v>375746.2213</v>
      </c>
      <c r="AG78" s="14">
        <f t="shared" si="8"/>
        <v>-154681411.6</v>
      </c>
    </row>
    <row r="79">
      <c r="A79" s="2">
        <v>77.0</v>
      </c>
      <c r="B79" s="15">
        <f>EDATE(Setup!B2,A79)</f>
        <v>48624</v>
      </c>
      <c r="C79" s="2" t="str">
        <f>IF(A79=0,"T0",IF(A79&lt;=Drivers!B19,"Preconstruction",IF(A79&lt;=(Drivers!B19+Drivers!B20),"Construction","Trading")))</f>
        <v>Trading</v>
      </c>
      <c r="D79" s="12">
        <f t="array" ref="D79">IF(AND(A79&gt;Drivers!B19,A79&lt;=(Drivers!B19+Drivers!B20)),SIN(PI()*(A79-Drivers!B19-0.5)/Drivers!B20)/SUMPRODUCT(SIN(PI()*(SEQUENCE(Drivers!B20,1)-0.5)/Drivers!B20)),0)</f>
        <v>0</v>
      </c>
      <c r="E79" s="14">
        <f>(Summary!B10+Summary!B12)*D79*(1+Drivers!B21)^(A79/12)</f>
        <v>0</v>
      </c>
      <c r="F79" s="14">
        <f>IF(AND(A79&gt;0,A79&lt;=Drivers!B19),Summary!B11*Drivers!B40/Drivers!B19*(1+Drivers!B21)^(A79/12),Summary!B11*(1-Drivers!B40 )*D79*(1+Drivers!B21)^(A79/12))</f>
        <v>0</v>
      </c>
      <c r="G79" s="14">
        <f>IF(AND(A79&gt;0,A79&lt;=2),Drivers!B16/2,0)</f>
        <v>0</v>
      </c>
      <c r="H79" s="14">
        <f>IF(A79=(Drivers!B19+Drivers!B20),Drivers!B17*(1+Drivers!B21)^(A79/12),0)</f>
        <v>0</v>
      </c>
      <c r="I79" s="14">
        <f>IF(AND(A79&gt;0,A79&lt;=(Drivers!B19+Drivers!B20)),Drivers!B18*(1+Drivers!B23)^(A79/12),0)</f>
        <v>0</v>
      </c>
      <c r="J79" s="14">
        <f t="shared" si="1"/>
        <v>0</v>
      </c>
      <c r="K79" s="12">
        <f>IF(A79&gt;(Drivers!B19+Drivers!B20),MIN(1,0.5+0.5*(A79-(Drivers!B19+Drivers!B20))/Drivers!B39),0)</f>
        <v>1</v>
      </c>
      <c r="L79" s="14">
        <f>Drivers!B2*(B79-B78)*Drivers!B24*(1+Drivers!B22)^(A79/12)*Drivers!B25*K79</f>
        <v>1076521.526</v>
      </c>
      <c r="M79" s="14">
        <f>L79*Drivers!B26</f>
        <v>215304.3053</v>
      </c>
      <c r="N79" s="14">
        <f>(L79+M79)*Drivers!B27</f>
        <v>452139.0411</v>
      </c>
      <c r="O79" s="14">
        <f>IF(A79&gt;(Drivers!B19+Drivers!B20),Drivers!B28/12*(1+Drivers!B23)^(A79/12),0)</f>
        <v>428722.2327</v>
      </c>
      <c r="P79" s="14">
        <f>(L79+M79)*Drivers!B29</f>
        <v>51673.03327</v>
      </c>
      <c r="Q79" s="14">
        <f>Drivers!B3*Drivers!B30*(1+Drivers!B22)^(A79/12)*Drivers!B31*(1-Drivers!B32 )*K79</f>
        <v>81993.12701</v>
      </c>
      <c r="R79" s="14">
        <f>IF(A79&gt;(Drivers!B19+Drivers!B20),Drivers!B33/12*(1+Drivers!B23)^(A79/12),0)</f>
        <v>64308.33491</v>
      </c>
      <c r="S79" s="14">
        <f t="shared" si="2"/>
        <v>376976.3167</v>
      </c>
      <c r="T79" s="14">
        <f t="shared" si="6"/>
        <v>20264488.52</v>
      </c>
      <c r="U79" s="14">
        <f>IF(AND(A79&gt;Drivers!B19,A79&lt;=(Drivers!B19+Drivers!B20)),Summary!B31*D79,0)</f>
        <v>0</v>
      </c>
      <c r="V79" s="14">
        <f>IF(A79&lt;=(Drivers!B19+Drivers!B20),(T79+U79/2)*Drivers!B36/12,T79*Drivers!B36/12)</f>
        <v>194201.3483</v>
      </c>
      <c r="W79" s="14">
        <f>IF(A79&gt;(Drivers!B19+Drivers!B20),MIN(T79,MAX(0,Summary!B32/12-V79)),0)</f>
        <v>64200.50613</v>
      </c>
      <c r="X79" s="14">
        <f>IF(A79=(Drivers!B19+1),Summary!B31*Drivers!B38,0)</f>
        <v>0</v>
      </c>
      <c r="Y79" s="14">
        <f t="shared" si="3"/>
        <v>20200288.01</v>
      </c>
      <c r="Z79" s="14">
        <f t="shared" si="4"/>
        <v>118574.4623</v>
      </c>
      <c r="AA79" s="14">
        <f t="shared" si="7"/>
        <v>-143468283.4</v>
      </c>
      <c r="AB79" s="14">
        <f t="shared" si="5"/>
        <v>376976.3167</v>
      </c>
      <c r="AC79" s="14">
        <f>(E79+F79+G79+H79)*Drivers!B45</f>
        <v>0</v>
      </c>
      <c r="AD79" s="14">
        <f>IF(A79&lt;=Summary!B18,AB79+IF(A79=Summary!B18,Summary!B40,0),0)</f>
        <v>376976.3167</v>
      </c>
      <c r="AE79" s="14">
        <f>IF(A79&lt;=Summary!B18,Z79+IF(A79=Summary!B18,Summary!B40-Y79,0),0)</f>
        <v>118574.4623</v>
      </c>
      <c r="AF79" s="14">
        <f>AD79-IF(A79=0,Drivers!B44,0)</f>
        <v>376976.3167</v>
      </c>
      <c r="AG79" s="14">
        <f t="shared" si="8"/>
        <v>-154304435.3</v>
      </c>
    </row>
    <row r="80">
      <c r="A80" s="2">
        <v>78.0</v>
      </c>
      <c r="B80" s="15">
        <f>EDATE(Setup!B2,A80)</f>
        <v>48652</v>
      </c>
      <c r="C80" s="2" t="str">
        <f>IF(A80=0,"T0",IF(A80&lt;=Drivers!B19,"Preconstruction",IF(A80&lt;=(Drivers!B19+Drivers!B20),"Construction","Trading")))</f>
        <v>Trading</v>
      </c>
      <c r="D80" s="12">
        <f t="array" ref="D80">IF(AND(A80&gt;Drivers!B19,A80&lt;=(Drivers!B19+Drivers!B20)),SIN(PI()*(A80-Drivers!B19-0.5)/Drivers!B20)/SUMPRODUCT(SIN(PI()*(SEQUENCE(Drivers!B20,1)-0.5)/Drivers!B20)),0)</f>
        <v>0</v>
      </c>
      <c r="E80" s="14">
        <f>(Summary!B10+Summary!B12)*D80*(1+Drivers!B21)^(A80/12)</f>
        <v>0</v>
      </c>
      <c r="F80" s="14">
        <f>IF(AND(A80&gt;0,A80&lt;=Drivers!B19),Summary!B11*Drivers!B40/Drivers!B19*(1+Drivers!B21)^(A80/12),Summary!B11*(1-Drivers!B40 )*D80*(1+Drivers!B21)^(A80/12))</f>
        <v>0</v>
      </c>
      <c r="G80" s="14">
        <f>IF(AND(A80&gt;0,A80&lt;=2),Drivers!B16/2,0)</f>
        <v>0</v>
      </c>
      <c r="H80" s="14">
        <f>IF(A80=(Drivers!B19+Drivers!B20),Drivers!B17*(1+Drivers!B21)^(A80/12),0)</f>
        <v>0</v>
      </c>
      <c r="I80" s="14">
        <f>IF(AND(A80&gt;0,A80&lt;=(Drivers!B19+Drivers!B20)),Drivers!B18*(1+Drivers!B23)^(A80/12),0)</f>
        <v>0</v>
      </c>
      <c r="J80" s="14">
        <f t="shared" si="1"/>
        <v>0</v>
      </c>
      <c r="K80" s="12">
        <f>IF(A80&gt;(Drivers!B19+Drivers!B20),MIN(1,0.5+0.5*(A80-(Drivers!B19+Drivers!B20))/Drivers!B39),0)</f>
        <v>1</v>
      </c>
      <c r="L80" s="14">
        <f>Drivers!B2*(B80-B79)*Drivers!B24*(1+Drivers!B22)^(A80/12)*Drivers!B25*K80</f>
        <v>975525.2186</v>
      </c>
      <c r="M80" s="14">
        <f>L80*Drivers!B26</f>
        <v>195105.0437</v>
      </c>
      <c r="N80" s="14">
        <f>(L80+M80)*Drivers!B27</f>
        <v>409720.5918</v>
      </c>
      <c r="O80" s="14">
        <f>IF(A80&gt;(Drivers!B19+Drivers!B20),Drivers!B28/12*(1+Drivers!B23)^(A80/12),0)</f>
        <v>430125.7577</v>
      </c>
      <c r="P80" s="14">
        <f>(L80+M80)*Drivers!B29</f>
        <v>46825.21049</v>
      </c>
      <c r="Q80" s="14">
        <f>Drivers!B3*Drivers!B30*(1+Drivers!B22)^(A80/12)*Drivers!B31*(1-Drivers!B32 )*K80</f>
        <v>82261.55117</v>
      </c>
      <c r="R80" s="14">
        <f>IF(A80&gt;(Drivers!B19+Drivers!B20),Drivers!B33/12*(1+Drivers!B23)^(A80/12),0)</f>
        <v>64518.86366</v>
      </c>
      <c r="S80" s="14">
        <f t="shared" si="2"/>
        <v>301701.3898</v>
      </c>
      <c r="T80" s="14">
        <f t="shared" si="6"/>
        <v>20200288.01</v>
      </c>
      <c r="U80" s="14">
        <f>IF(AND(A80&gt;Drivers!B19,A80&lt;=(Drivers!B19+Drivers!B20)),Summary!B31*D80,0)</f>
        <v>0</v>
      </c>
      <c r="V80" s="14">
        <f>IF(A80&lt;=(Drivers!B19+Drivers!B20),(T80+U80/2)*Drivers!B36/12,T80*Drivers!B36/12)</f>
        <v>193586.0934</v>
      </c>
      <c r="W80" s="14">
        <f>IF(A80&gt;(Drivers!B19+Drivers!B20),MIN(T80,MAX(0,Summary!B32/12-V80)),0)</f>
        <v>64815.76098</v>
      </c>
      <c r="X80" s="14">
        <f>IF(A80=(Drivers!B19+1),Summary!B31*Drivers!B38,0)</f>
        <v>0</v>
      </c>
      <c r="Y80" s="14">
        <f t="shared" si="3"/>
        <v>20135472.25</v>
      </c>
      <c r="Z80" s="14">
        <f t="shared" si="4"/>
        <v>43299.53534</v>
      </c>
      <c r="AA80" s="14">
        <f t="shared" si="7"/>
        <v>-143424983.9</v>
      </c>
      <c r="AB80" s="14">
        <f t="shared" si="5"/>
        <v>301701.3898</v>
      </c>
      <c r="AC80" s="14">
        <f>(E80+F80+G80+H80)*Drivers!B45</f>
        <v>0</v>
      </c>
      <c r="AD80" s="14">
        <f>IF(A80&lt;=Summary!B18,AB80+IF(A80=Summary!B18,Summary!B40,0),0)</f>
        <v>301701.3898</v>
      </c>
      <c r="AE80" s="14">
        <f>IF(A80&lt;=Summary!B18,Z80+IF(A80=Summary!B18,Summary!B40-Y80,0),0)</f>
        <v>43299.53534</v>
      </c>
      <c r="AF80" s="14">
        <f>AD80-IF(A80=0,Drivers!B44,0)</f>
        <v>301701.3898</v>
      </c>
      <c r="AG80" s="14">
        <f t="shared" si="8"/>
        <v>-154002733.9</v>
      </c>
    </row>
    <row r="81">
      <c r="A81" s="2">
        <v>79.0</v>
      </c>
      <c r="B81" s="15">
        <f>EDATE(Setup!B2,A81)</f>
        <v>48683</v>
      </c>
      <c r="C81" s="2" t="str">
        <f>IF(A81=0,"T0",IF(A81&lt;=Drivers!B19,"Preconstruction",IF(A81&lt;=(Drivers!B19+Drivers!B20),"Construction","Trading")))</f>
        <v>Trading</v>
      </c>
      <c r="D81" s="12">
        <f t="array" ref="D81">IF(AND(A81&gt;Drivers!B19,A81&lt;=(Drivers!B19+Drivers!B20)),SIN(PI()*(A81-Drivers!B19-0.5)/Drivers!B20)/SUMPRODUCT(SIN(PI()*(SEQUENCE(Drivers!B20,1)-0.5)/Drivers!B20)),0)</f>
        <v>0</v>
      </c>
      <c r="E81" s="14">
        <f>(Summary!B10+Summary!B12)*D81*(1+Drivers!B21)^(A81/12)</f>
        <v>0</v>
      </c>
      <c r="F81" s="14">
        <f>IF(AND(A81&gt;0,A81&lt;=Drivers!B19),Summary!B11*Drivers!B40/Drivers!B19*(1+Drivers!B21)^(A81/12),Summary!B11*(1-Drivers!B40 )*D81*(1+Drivers!B21)^(A81/12))</f>
        <v>0</v>
      </c>
      <c r="G81" s="14">
        <f>IF(AND(A81&gt;0,A81&lt;=2),Drivers!B16/2,0)</f>
        <v>0</v>
      </c>
      <c r="H81" s="14">
        <f>IF(A81=(Drivers!B19+Drivers!B20),Drivers!B17*(1+Drivers!B21)^(A81/12),0)</f>
        <v>0</v>
      </c>
      <c r="I81" s="14">
        <f>IF(AND(A81&gt;0,A81&lt;=(Drivers!B19+Drivers!B20)),Drivers!B18*(1+Drivers!B23)^(A81/12),0)</f>
        <v>0</v>
      </c>
      <c r="J81" s="14">
        <f t="shared" si="1"/>
        <v>0</v>
      </c>
      <c r="K81" s="12">
        <f>IF(A81&gt;(Drivers!B19+Drivers!B20),MIN(1,0.5+0.5*(A81-(Drivers!B19+Drivers!B20))/Drivers!B39),0)</f>
        <v>1</v>
      </c>
      <c r="L81" s="14">
        <f>Drivers!B2*(B81-B80)*Drivers!B24*(1+Drivers!B22)^(A81/12)*Drivers!B25*K81</f>
        <v>1083581.567</v>
      </c>
      <c r="M81" s="14">
        <f>L81*Drivers!B26</f>
        <v>216716.3133</v>
      </c>
      <c r="N81" s="14">
        <f>(L81+M81)*Drivers!B27</f>
        <v>455104.2579</v>
      </c>
      <c r="O81" s="14">
        <f>IF(A81&gt;(Drivers!B19+Drivers!B20),Drivers!B28/12*(1+Drivers!B23)^(A81/12),0)</f>
        <v>431533.8776</v>
      </c>
      <c r="P81" s="14">
        <f>(L81+M81)*Drivers!B29</f>
        <v>52011.91519</v>
      </c>
      <c r="Q81" s="14">
        <f>Drivers!B3*Drivers!B30*(1+Drivers!B22)^(A81/12)*Drivers!B31*(1-Drivers!B32 )*K81</f>
        <v>82530.85408</v>
      </c>
      <c r="R81" s="14">
        <f>IF(A81&gt;(Drivers!B19+Drivers!B20),Drivers!B33/12*(1+Drivers!B23)^(A81/12),0)</f>
        <v>64730.08163</v>
      </c>
      <c r="S81" s="14">
        <f t="shared" si="2"/>
        <v>379448.6016</v>
      </c>
      <c r="T81" s="14">
        <f t="shared" si="6"/>
        <v>20135472.25</v>
      </c>
      <c r="U81" s="14">
        <f>IF(AND(A81&gt;Drivers!B19,A81&lt;=(Drivers!B19+Drivers!B20)),Summary!B31*D81,0)</f>
        <v>0</v>
      </c>
      <c r="V81" s="14">
        <f>IF(A81&lt;=(Drivers!B19+Drivers!B20),(T81+U81/2)*Drivers!B36/12,T81*Drivers!B36/12)</f>
        <v>192964.9424</v>
      </c>
      <c r="W81" s="14">
        <f>IF(A81&gt;(Drivers!B19+Drivers!B20),MIN(T81,MAX(0,Summary!B32/12-V81)),0)</f>
        <v>65436.91202</v>
      </c>
      <c r="X81" s="14">
        <f>IF(A81=(Drivers!B19+1),Summary!B31*Drivers!B38,0)</f>
        <v>0</v>
      </c>
      <c r="Y81" s="14">
        <f t="shared" si="3"/>
        <v>20070035.34</v>
      </c>
      <c r="Z81" s="14">
        <f t="shared" si="4"/>
        <v>121046.7472</v>
      </c>
      <c r="AA81" s="14">
        <f t="shared" si="7"/>
        <v>-143303937.1</v>
      </c>
      <c r="AB81" s="14">
        <f t="shared" si="5"/>
        <v>379448.6016</v>
      </c>
      <c r="AC81" s="14">
        <f>(E81+F81+G81+H81)*Drivers!B45</f>
        <v>0</v>
      </c>
      <c r="AD81" s="14">
        <f>IF(A81&lt;=Summary!B18,AB81+IF(A81=Summary!B18,Summary!B40,0),0)</f>
        <v>379448.6016</v>
      </c>
      <c r="AE81" s="14">
        <f>IF(A81&lt;=Summary!B18,Z81+IF(A81=Summary!B18,Summary!B40-Y81,0),0)</f>
        <v>121046.7472</v>
      </c>
      <c r="AF81" s="14">
        <f>AD81-IF(A81=0,Drivers!B44,0)</f>
        <v>379448.6016</v>
      </c>
      <c r="AG81" s="14">
        <f t="shared" si="8"/>
        <v>-153623285.3</v>
      </c>
    </row>
    <row r="82">
      <c r="A82" s="2">
        <v>80.0</v>
      </c>
      <c r="B82" s="15">
        <f>EDATE(Setup!B2,A82)</f>
        <v>48713</v>
      </c>
      <c r="C82" s="2" t="str">
        <f>IF(A82=0,"T0",IF(A82&lt;=Drivers!B19,"Preconstruction",IF(A82&lt;=(Drivers!B19+Drivers!B20),"Construction","Trading")))</f>
        <v>Trading</v>
      </c>
      <c r="D82" s="12">
        <f t="array" ref="D82">IF(AND(A82&gt;Drivers!B19,A82&lt;=(Drivers!B19+Drivers!B20)),SIN(PI()*(A82-Drivers!B19-0.5)/Drivers!B20)/SUMPRODUCT(SIN(PI()*(SEQUENCE(Drivers!B20,1)-0.5)/Drivers!B20)),0)</f>
        <v>0</v>
      </c>
      <c r="E82" s="14">
        <f>(Summary!B10+Summary!B12)*D82*(1+Drivers!B21)^(A82/12)</f>
        <v>0</v>
      </c>
      <c r="F82" s="14">
        <f>IF(AND(A82&gt;0,A82&lt;=Drivers!B19),Summary!B11*Drivers!B40/Drivers!B19*(1+Drivers!B21)^(A82/12),Summary!B11*(1-Drivers!B40 )*D82*(1+Drivers!B21)^(A82/12))</f>
        <v>0</v>
      </c>
      <c r="G82" s="14">
        <f>IF(AND(A82&gt;0,A82&lt;=2),Drivers!B16/2,0)</f>
        <v>0</v>
      </c>
      <c r="H82" s="14">
        <f>IF(A82=(Drivers!B19+Drivers!B20),Drivers!B17*(1+Drivers!B21)^(A82/12),0)</f>
        <v>0</v>
      </c>
      <c r="I82" s="14">
        <f>IF(AND(A82&gt;0,A82&lt;=(Drivers!B19+Drivers!B20)),Drivers!B18*(1+Drivers!B23)^(A82/12),0)</f>
        <v>0</v>
      </c>
      <c r="J82" s="14">
        <f t="shared" si="1"/>
        <v>0</v>
      </c>
      <c r="K82" s="12">
        <f>IF(A82&gt;(Drivers!B19+Drivers!B20),MIN(1,0.5+0.5*(A82-(Drivers!B19+Drivers!B20))/Drivers!B39),0)</f>
        <v>1</v>
      </c>
      <c r="L82" s="14">
        <f>Drivers!B2*(B82-B81)*Drivers!B24*(1+Drivers!B22)^(A82/12)*Drivers!B25*K82</f>
        <v>1052060.255</v>
      </c>
      <c r="M82" s="14">
        <f>L82*Drivers!B26</f>
        <v>210412.0511</v>
      </c>
      <c r="N82" s="14">
        <f>(L82+M82)*Drivers!B27</f>
        <v>441865.3073</v>
      </c>
      <c r="O82" s="14">
        <f>IF(A82&gt;(Drivers!B19+Drivers!B20),Drivers!B28/12*(1+Drivers!B23)^(A82/12),0)</f>
        <v>432946.6072</v>
      </c>
      <c r="P82" s="14">
        <f>(L82+M82)*Drivers!B29</f>
        <v>50498.89226</v>
      </c>
      <c r="Q82" s="14">
        <f>Drivers!B3*Drivers!B30*(1+Drivers!B22)^(A82/12)*Drivers!B31*(1-Drivers!B32 )*K82</f>
        <v>82801.03862</v>
      </c>
      <c r="R82" s="14">
        <f>IF(A82&gt;(Drivers!B19+Drivers!B20),Drivers!B33/12*(1+Drivers!B23)^(A82/12),0)</f>
        <v>64941.99108</v>
      </c>
      <c r="S82" s="14">
        <f t="shared" si="2"/>
        <v>355020.5474</v>
      </c>
      <c r="T82" s="14">
        <f t="shared" si="6"/>
        <v>20070035.34</v>
      </c>
      <c r="U82" s="14">
        <f>IF(AND(A82&gt;Drivers!B19,A82&lt;=(Drivers!B19+Drivers!B20)),Summary!B31*D82,0)</f>
        <v>0</v>
      </c>
      <c r="V82" s="14">
        <f>IF(A82&lt;=(Drivers!B19+Drivers!B20),(T82+U82/2)*Drivers!B36/12,T82*Drivers!B36/12)</f>
        <v>192337.8387</v>
      </c>
      <c r="W82" s="14">
        <f>IF(A82&gt;(Drivers!B19+Drivers!B20),MIN(T82,MAX(0,Summary!B32/12-V82)),0)</f>
        <v>66064.01576</v>
      </c>
      <c r="X82" s="14">
        <f>IF(A82=(Drivers!B19+1),Summary!B31*Drivers!B38,0)</f>
        <v>0</v>
      </c>
      <c r="Y82" s="14">
        <f t="shared" si="3"/>
        <v>20003971.32</v>
      </c>
      <c r="Z82" s="14">
        <f t="shared" si="4"/>
        <v>96618.69293</v>
      </c>
      <c r="AA82" s="14">
        <f t="shared" si="7"/>
        <v>-143207318.5</v>
      </c>
      <c r="AB82" s="14">
        <f t="shared" si="5"/>
        <v>355020.5474</v>
      </c>
      <c r="AC82" s="14">
        <f>(E82+F82+G82+H82)*Drivers!B45</f>
        <v>0</v>
      </c>
      <c r="AD82" s="14">
        <f>IF(A82&lt;=Summary!B18,AB82+IF(A82=Summary!B18,Summary!B40,0),0)</f>
        <v>355020.5474</v>
      </c>
      <c r="AE82" s="14">
        <f>IF(A82&lt;=Summary!B18,Z82+IF(A82=Summary!B18,Summary!B40-Y82,0),0)</f>
        <v>96618.69293</v>
      </c>
      <c r="AF82" s="14">
        <f>AD82-IF(A82=0,Drivers!B44,0)</f>
        <v>355020.5474</v>
      </c>
      <c r="AG82" s="14">
        <f t="shared" si="8"/>
        <v>-153268264.8</v>
      </c>
    </row>
    <row r="83">
      <c r="A83" s="2">
        <v>81.0</v>
      </c>
      <c r="B83" s="15">
        <f>EDATE(Setup!B2,A83)</f>
        <v>48744</v>
      </c>
      <c r="C83" s="2" t="str">
        <f>IF(A83=0,"T0",IF(A83&lt;=Drivers!B19,"Preconstruction",IF(A83&lt;=(Drivers!B19+Drivers!B20),"Construction","Trading")))</f>
        <v>Trading</v>
      </c>
      <c r="D83" s="12">
        <f t="array" ref="D83">IF(AND(A83&gt;Drivers!B19,A83&lt;=(Drivers!B19+Drivers!B20)),SIN(PI()*(A83-Drivers!B19-0.5)/Drivers!B20)/SUMPRODUCT(SIN(PI()*(SEQUENCE(Drivers!B20,1)-0.5)/Drivers!B20)),0)</f>
        <v>0</v>
      </c>
      <c r="E83" s="14">
        <f>(Summary!B10+Summary!B12)*D83*(1+Drivers!B21)^(A83/12)</f>
        <v>0</v>
      </c>
      <c r="F83" s="14">
        <f>IF(AND(A83&gt;0,A83&lt;=Drivers!B19),Summary!B11*Drivers!B40/Drivers!B19*(1+Drivers!B21)^(A83/12),Summary!B11*(1-Drivers!B40 )*D83*(1+Drivers!B21)^(A83/12))</f>
        <v>0</v>
      </c>
      <c r="G83" s="14">
        <f>IF(AND(A83&gt;0,A83&lt;=2),Drivers!B16/2,0)</f>
        <v>0</v>
      </c>
      <c r="H83" s="14">
        <f>IF(A83=(Drivers!B19+Drivers!B20),Drivers!B17*(1+Drivers!B21)^(A83/12),0)</f>
        <v>0</v>
      </c>
      <c r="I83" s="14">
        <f>IF(AND(A83&gt;0,A83&lt;=(Drivers!B19+Drivers!B20)),Drivers!B18*(1+Drivers!B23)^(A83/12),0)</f>
        <v>0</v>
      </c>
      <c r="J83" s="14">
        <f t="shared" si="1"/>
        <v>0</v>
      </c>
      <c r="K83" s="12">
        <f>IF(A83&gt;(Drivers!B19+Drivers!B20),MIN(1,0.5+0.5*(A83-(Drivers!B19+Drivers!B20))/Drivers!B39),0)</f>
        <v>1</v>
      </c>
      <c r="L83" s="14">
        <f>Drivers!B2*(B83-B82)*Drivers!B24*(1+Drivers!B22)^(A83/12)*Drivers!B25*K83</f>
        <v>1090687.908</v>
      </c>
      <c r="M83" s="14">
        <f>L83*Drivers!B26</f>
        <v>218137.5816</v>
      </c>
      <c r="N83" s="14">
        <f>(L83+M83)*Drivers!B27</f>
        <v>458088.9213</v>
      </c>
      <c r="O83" s="14">
        <f>IF(A83&gt;(Drivers!B19+Drivers!B20),Drivers!B28/12*(1+Drivers!B23)^(A83/12),0)</f>
        <v>434363.9617</v>
      </c>
      <c r="P83" s="14">
        <f>(L83+M83)*Drivers!B29</f>
        <v>52353.01958</v>
      </c>
      <c r="Q83" s="14">
        <f>Drivers!B3*Drivers!B30*(1+Drivers!B22)^(A83/12)*Drivers!B31*(1-Drivers!B32 )*K83</f>
        <v>83072.10768</v>
      </c>
      <c r="R83" s="14">
        <f>IF(A83&gt;(Drivers!B19+Drivers!B20),Drivers!B33/12*(1+Drivers!B23)^(A83/12),0)</f>
        <v>65154.59426</v>
      </c>
      <c r="S83" s="14">
        <f t="shared" si="2"/>
        <v>381937.1003</v>
      </c>
      <c r="T83" s="14">
        <f t="shared" si="6"/>
        <v>20003971.32</v>
      </c>
      <c r="U83" s="14">
        <f>IF(AND(A83&gt;Drivers!B19,A83&lt;=(Drivers!B19+Drivers!B20)),Summary!B31*D83,0)</f>
        <v>0</v>
      </c>
      <c r="V83" s="14">
        <f>IF(A83&lt;=(Drivers!B19+Drivers!B20),(T83+U83/2)*Drivers!B36/12,T83*Drivers!B36/12)</f>
        <v>191704.7252</v>
      </c>
      <c r="W83" s="14">
        <f>IF(A83&gt;(Drivers!B19+Drivers!B20),MIN(T83,MAX(0,Summary!B32/12-V83)),0)</f>
        <v>66697.12924</v>
      </c>
      <c r="X83" s="14">
        <f>IF(A83=(Drivers!B19+1),Summary!B31*Drivers!B38,0)</f>
        <v>0</v>
      </c>
      <c r="Y83" s="14">
        <f t="shared" si="3"/>
        <v>19937274.19</v>
      </c>
      <c r="Z83" s="14">
        <f t="shared" si="4"/>
        <v>123535.2458</v>
      </c>
      <c r="AA83" s="14">
        <f t="shared" si="7"/>
        <v>-143083783.2</v>
      </c>
      <c r="AB83" s="14">
        <f t="shared" si="5"/>
        <v>381937.1003</v>
      </c>
      <c r="AC83" s="14">
        <f>(E83+F83+G83+H83)*Drivers!B45</f>
        <v>0</v>
      </c>
      <c r="AD83" s="14">
        <f>IF(A83&lt;=Summary!B18,AB83+IF(A83=Summary!B18,Summary!B40,0),0)</f>
        <v>381937.1003</v>
      </c>
      <c r="AE83" s="14">
        <f>IF(A83&lt;=Summary!B18,Z83+IF(A83=Summary!B18,Summary!B40-Y83,0),0)</f>
        <v>123535.2458</v>
      </c>
      <c r="AF83" s="14">
        <f>AD83-IF(A83=0,Drivers!B44,0)</f>
        <v>381937.1003</v>
      </c>
      <c r="AG83" s="14">
        <f t="shared" si="8"/>
        <v>-152886327.7</v>
      </c>
    </row>
    <row r="84">
      <c r="A84" s="2">
        <v>82.0</v>
      </c>
      <c r="B84" s="15">
        <f>EDATE(Setup!B2,A84)</f>
        <v>48774</v>
      </c>
      <c r="C84" s="2" t="str">
        <f>IF(A84=0,"T0",IF(A84&lt;=Drivers!B19,"Preconstruction",IF(A84&lt;=(Drivers!B19+Drivers!B20),"Construction","Trading")))</f>
        <v>Trading</v>
      </c>
      <c r="D84" s="12">
        <f t="array" ref="D84">IF(AND(A84&gt;Drivers!B19,A84&lt;=(Drivers!B19+Drivers!B20)),SIN(PI()*(A84-Drivers!B19-0.5)/Drivers!B20)/SUMPRODUCT(SIN(PI()*(SEQUENCE(Drivers!B20,1)-0.5)/Drivers!B20)),0)</f>
        <v>0</v>
      </c>
      <c r="E84" s="14">
        <f>(Summary!B10+Summary!B12)*D84*(1+Drivers!B21)^(A84/12)</f>
        <v>0</v>
      </c>
      <c r="F84" s="14">
        <f>IF(AND(A84&gt;0,A84&lt;=Drivers!B19),Summary!B11*Drivers!B40/Drivers!B19*(1+Drivers!B21)^(A84/12),Summary!B11*(1-Drivers!B40 )*D84*(1+Drivers!B21)^(A84/12))</f>
        <v>0</v>
      </c>
      <c r="G84" s="14">
        <f>IF(AND(A84&gt;0,A84&lt;=2),Drivers!B16/2,0)</f>
        <v>0</v>
      </c>
      <c r="H84" s="14">
        <f>IF(A84=(Drivers!B19+Drivers!B20),Drivers!B17*(1+Drivers!B21)^(A84/12),0)</f>
        <v>0</v>
      </c>
      <c r="I84" s="14">
        <f>IF(AND(A84&gt;0,A84&lt;=(Drivers!B19+Drivers!B20)),Drivers!B18*(1+Drivers!B23)^(A84/12),0)</f>
        <v>0</v>
      </c>
      <c r="J84" s="14">
        <f t="shared" si="1"/>
        <v>0</v>
      </c>
      <c r="K84" s="12">
        <f>IF(A84&gt;(Drivers!B19+Drivers!B20),MIN(1,0.5+0.5*(A84-(Drivers!B19+Drivers!B20))/Drivers!B39),0)</f>
        <v>1</v>
      </c>
      <c r="L84" s="14">
        <f>Drivers!B2*(B84-B83)*Drivers!B24*(1+Drivers!B22)^(A84/12)*Drivers!B25*K84</f>
        <v>1058959.874</v>
      </c>
      <c r="M84" s="14">
        <f>L84*Drivers!B26</f>
        <v>211791.9748</v>
      </c>
      <c r="N84" s="14">
        <f>(L84+M84)*Drivers!B27</f>
        <v>444763.147</v>
      </c>
      <c r="O84" s="14">
        <f>IF(A84&gt;(Drivers!B19+Drivers!B20),Drivers!B28/12*(1+Drivers!B23)^(A84/12),0)</f>
        <v>435785.9563</v>
      </c>
      <c r="P84" s="14">
        <f>(L84+M84)*Drivers!B29</f>
        <v>50830.07394</v>
      </c>
      <c r="Q84" s="14">
        <f>Drivers!B3*Drivers!B30*(1+Drivers!B22)^(A84/12)*Drivers!B31*(1-Drivers!B32 )*K84</f>
        <v>83344.06414</v>
      </c>
      <c r="R84" s="14">
        <f>IF(A84&gt;(Drivers!B19+Drivers!B20),Drivers!B33/12*(1+Drivers!B23)^(A84/12),0)</f>
        <v>65367.89344</v>
      </c>
      <c r="S84" s="14">
        <f t="shared" si="2"/>
        <v>357348.842</v>
      </c>
      <c r="T84" s="14">
        <f t="shared" si="6"/>
        <v>19937274.19</v>
      </c>
      <c r="U84" s="14">
        <f>IF(AND(A84&gt;Drivers!B19,A84&lt;=(Drivers!B19+Drivers!B20)),Summary!B31*D84,0)</f>
        <v>0</v>
      </c>
      <c r="V84" s="14">
        <f>IF(A84&lt;=(Drivers!B19+Drivers!B20),(T84+U84/2)*Drivers!B36/12,T84*Drivers!B36/12)</f>
        <v>191065.5443</v>
      </c>
      <c r="W84" s="14">
        <f>IF(A84&gt;(Drivers!B19+Drivers!B20),MIN(T84,MAX(0,Summary!B32/12-V84)),0)</f>
        <v>67336.31007</v>
      </c>
      <c r="X84" s="14">
        <f>IF(A84=(Drivers!B19+1),Summary!B31*Drivers!B38,0)</f>
        <v>0</v>
      </c>
      <c r="Y84" s="14">
        <f t="shared" si="3"/>
        <v>19869937.88</v>
      </c>
      <c r="Z84" s="14">
        <f t="shared" si="4"/>
        <v>98946.9876</v>
      </c>
      <c r="AA84" s="14">
        <f t="shared" si="7"/>
        <v>-142984836.2</v>
      </c>
      <c r="AB84" s="14">
        <f t="shared" si="5"/>
        <v>357348.842</v>
      </c>
      <c r="AC84" s="14">
        <f>(E84+F84+G84+H84)*Drivers!B45</f>
        <v>0</v>
      </c>
      <c r="AD84" s="14">
        <f>IF(A84&lt;=Summary!B18,AB84+IF(A84=Summary!B18,Summary!B40,0),0)</f>
        <v>357348.842</v>
      </c>
      <c r="AE84" s="14">
        <f>IF(A84&lt;=Summary!B18,Z84+IF(A84=Summary!B18,Summary!B40-Y84,0),0)</f>
        <v>98946.9876</v>
      </c>
      <c r="AF84" s="14">
        <f>AD84-IF(A84=0,Drivers!B44,0)</f>
        <v>357348.842</v>
      </c>
      <c r="AG84" s="14">
        <f t="shared" si="8"/>
        <v>-152528978.8</v>
      </c>
    </row>
    <row r="85">
      <c r="A85" s="2">
        <v>83.0</v>
      </c>
      <c r="B85" s="15">
        <f>EDATE(Setup!B2,A85)</f>
        <v>48805</v>
      </c>
      <c r="C85" s="2" t="str">
        <f>IF(A85=0,"T0",IF(A85&lt;=Drivers!B19,"Preconstruction",IF(A85&lt;=(Drivers!B19+Drivers!B20),"Construction","Trading")))</f>
        <v>Trading</v>
      </c>
      <c r="D85" s="12">
        <f t="array" ref="D85">IF(AND(A85&gt;Drivers!B19,A85&lt;=(Drivers!B19+Drivers!B20)),SIN(PI()*(A85-Drivers!B19-0.5)/Drivers!B20)/SUMPRODUCT(SIN(PI()*(SEQUENCE(Drivers!B20,1)-0.5)/Drivers!B20)),0)</f>
        <v>0</v>
      </c>
      <c r="E85" s="14">
        <f>(Summary!B10+Summary!B12)*D85*(1+Drivers!B21)^(A85/12)</f>
        <v>0</v>
      </c>
      <c r="F85" s="14">
        <f>IF(AND(A85&gt;0,A85&lt;=Drivers!B19),Summary!B11*Drivers!B40/Drivers!B19*(1+Drivers!B21)^(A85/12),Summary!B11*(1-Drivers!B40 )*D85*(1+Drivers!B21)^(A85/12))</f>
        <v>0</v>
      </c>
      <c r="G85" s="14">
        <f>IF(AND(A85&gt;0,A85&lt;=2),Drivers!B16/2,0)</f>
        <v>0</v>
      </c>
      <c r="H85" s="14">
        <f>IF(A85=(Drivers!B19+Drivers!B20),Drivers!B17*(1+Drivers!B21)^(A85/12),0)</f>
        <v>0</v>
      </c>
      <c r="I85" s="14">
        <f>IF(AND(A85&gt;0,A85&lt;=(Drivers!B19+Drivers!B20)),Drivers!B18*(1+Drivers!B23)^(A85/12),0)</f>
        <v>0</v>
      </c>
      <c r="J85" s="14">
        <f t="shared" si="1"/>
        <v>0</v>
      </c>
      <c r="K85" s="12">
        <f>IF(A85&gt;(Drivers!B19+Drivers!B20),MIN(1,0.5+0.5*(A85-(Drivers!B19+Drivers!B20))/Drivers!B39),0)</f>
        <v>1</v>
      </c>
      <c r="L85" s="14">
        <f>Drivers!B2*(B85-B84)*Drivers!B24*(1+Drivers!B22)^(A85/12)*Drivers!B25*K85</f>
        <v>1097840.854</v>
      </c>
      <c r="M85" s="14">
        <f>L85*Drivers!B26</f>
        <v>219568.1708</v>
      </c>
      <c r="N85" s="14">
        <f>(L85+M85)*Drivers!B27</f>
        <v>461093.1587</v>
      </c>
      <c r="O85" s="14">
        <f>IF(A85&gt;(Drivers!B19+Drivers!B20),Drivers!B28/12*(1+Drivers!B23)^(A85/12),0)</f>
        <v>437212.6061</v>
      </c>
      <c r="P85" s="14">
        <f>(L85+M85)*Drivers!B29</f>
        <v>52696.36099</v>
      </c>
      <c r="Q85" s="14">
        <f>Drivers!B3*Drivers!B30*(1+Drivers!B22)^(A85/12)*Drivers!B31*(1-Drivers!B32 )*K85</f>
        <v>83616.91092</v>
      </c>
      <c r="R85" s="14">
        <f>IF(A85&gt;(Drivers!B19+Drivers!B20),Drivers!B33/12*(1+Drivers!B23)^(A85/12),0)</f>
        <v>65581.89092</v>
      </c>
      <c r="S85" s="14">
        <f t="shared" si="2"/>
        <v>384441.919</v>
      </c>
      <c r="T85" s="14">
        <f t="shared" si="6"/>
        <v>19869937.88</v>
      </c>
      <c r="U85" s="14">
        <f>IF(AND(A85&gt;Drivers!B19,A85&lt;=(Drivers!B19+Drivers!B20)),Summary!B31*D85,0)</f>
        <v>0</v>
      </c>
      <c r="V85" s="14">
        <f>IF(A85&lt;=(Drivers!B19+Drivers!B20),(T85+U85/2)*Drivers!B36/12,T85*Drivers!B36/12)</f>
        <v>190420.238</v>
      </c>
      <c r="W85" s="14">
        <f>IF(A85&gt;(Drivers!B19+Drivers!B20),MIN(T85,MAX(0,Summary!B32/12-V85)),0)</f>
        <v>67981.61637</v>
      </c>
      <c r="X85" s="14">
        <f>IF(A85=(Drivers!B19+1),Summary!B31*Drivers!B38,0)</f>
        <v>0</v>
      </c>
      <c r="Y85" s="14">
        <f t="shared" si="3"/>
        <v>19801956.27</v>
      </c>
      <c r="Z85" s="14">
        <f t="shared" si="4"/>
        <v>126040.0646</v>
      </c>
      <c r="AA85" s="14">
        <f t="shared" si="7"/>
        <v>-142858796.2</v>
      </c>
      <c r="AB85" s="14">
        <f t="shared" si="5"/>
        <v>384441.919</v>
      </c>
      <c r="AC85" s="14">
        <f>(E85+F85+G85+H85)*Drivers!B45</f>
        <v>0</v>
      </c>
      <c r="AD85" s="14">
        <f>IF(A85&lt;=Summary!B18,AB85+IF(A85=Summary!B18,Summary!B40,0),0)</f>
        <v>384441.919</v>
      </c>
      <c r="AE85" s="14">
        <f>IF(A85&lt;=Summary!B18,Z85+IF(A85=Summary!B18,Summary!B40-Y85,0),0)</f>
        <v>126040.0646</v>
      </c>
      <c r="AF85" s="14">
        <f>AD85-IF(A85=0,Drivers!B44,0)</f>
        <v>384441.919</v>
      </c>
      <c r="AG85" s="14">
        <f t="shared" si="8"/>
        <v>-152144536.9</v>
      </c>
    </row>
    <row r="86">
      <c r="A86" s="2">
        <v>84.0</v>
      </c>
      <c r="B86" s="15">
        <f>EDATE(Setup!B2,A86)</f>
        <v>48836</v>
      </c>
      <c r="C86" s="2" t="str">
        <f>IF(A86=0,"T0",IF(A86&lt;=Drivers!B19,"Preconstruction",IF(A86&lt;=(Drivers!B19+Drivers!B20),"Construction","Trading")))</f>
        <v>Trading</v>
      </c>
      <c r="D86" s="12">
        <f t="array" ref="D86">IF(AND(A86&gt;Drivers!B19,A86&lt;=(Drivers!B19+Drivers!B20)),SIN(PI()*(A86-Drivers!B19-0.5)/Drivers!B20)/SUMPRODUCT(SIN(PI()*(SEQUENCE(Drivers!B20,1)-0.5)/Drivers!B20)),0)</f>
        <v>0</v>
      </c>
      <c r="E86" s="14">
        <f>(Summary!B10+Summary!B12)*D86*(1+Drivers!B21)^(A86/12)</f>
        <v>0</v>
      </c>
      <c r="F86" s="14">
        <f>IF(AND(A86&gt;0,A86&lt;=Drivers!B19),Summary!B11*Drivers!B40/Drivers!B19*(1+Drivers!B21)^(A86/12),Summary!B11*(1-Drivers!B40 )*D86*(1+Drivers!B21)^(A86/12))</f>
        <v>0</v>
      </c>
      <c r="G86" s="14">
        <f>IF(AND(A86&gt;0,A86&lt;=2),Drivers!B16/2,0)</f>
        <v>0</v>
      </c>
      <c r="H86" s="14">
        <f>IF(A86=(Drivers!B19+Drivers!B20),Drivers!B17*(1+Drivers!B21)^(A86/12),0)</f>
        <v>0</v>
      </c>
      <c r="I86" s="14">
        <f>IF(AND(A86&gt;0,A86&lt;=(Drivers!B19+Drivers!B20)),Drivers!B18*(1+Drivers!B23)^(A86/12),0)</f>
        <v>0</v>
      </c>
      <c r="J86" s="14">
        <f t="shared" si="1"/>
        <v>0</v>
      </c>
      <c r="K86" s="12">
        <f>IF(A86&gt;(Drivers!B19+Drivers!B20),MIN(1,0.5+0.5*(A86-(Drivers!B19+Drivers!B20))/Drivers!B39),0)</f>
        <v>1</v>
      </c>
      <c r="L86" s="14">
        <f>Drivers!B2*(B86-B85)*Drivers!B24*(1+Drivers!B22)^(A86/12)*Drivers!B25*K86</f>
        <v>1101434.899</v>
      </c>
      <c r="M86" s="14">
        <f>L86*Drivers!B26</f>
        <v>220286.9798</v>
      </c>
      <c r="N86" s="14">
        <f>(L86+M86)*Drivers!B27</f>
        <v>462602.6577</v>
      </c>
      <c r="O86" s="14">
        <f>IF(A86&gt;(Drivers!B19+Drivers!B20),Drivers!B28/12*(1+Drivers!B23)^(A86/12),0)</f>
        <v>438643.9264</v>
      </c>
      <c r="P86" s="14">
        <f>(L86+M86)*Drivers!B29</f>
        <v>52868.87516</v>
      </c>
      <c r="Q86" s="14">
        <f>Drivers!B3*Drivers!B30*(1+Drivers!B22)^(A86/12)*Drivers!B31*(1-Drivers!B32 )*K86</f>
        <v>83890.65093</v>
      </c>
      <c r="R86" s="14">
        <f>IF(A86&gt;(Drivers!B19+Drivers!B20),Drivers!B33/12*(1+Drivers!B23)^(A86/12),0)</f>
        <v>65796.58896</v>
      </c>
      <c r="S86" s="14">
        <f t="shared" si="2"/>
        <v>385700.4818</v>
      </c>
      <c r="T86" s="14">
        <f t="shared" si="6"/>
        <v>19801956.27</v>
      </c>
      <c r="U86" s="14">
        <f>IF(AND(A86&gt;Drivers!B19,A86&lt;=(Drivers!B19+Drivers!B20)),Summary!B31*D86,0)</f>
        <v>0</v>
      </c>
      <c r="V86" s="14">
        <f>IF(A86&lt;=(Drivers!B19+Drivers!B20),(T86+U86/2)*Drivers!B36/12,T86*Drivers!B36/12)</f>
        <v>189768.7476</v>
      </c>
      <c r="W86" s="14">
        <f>IF(A86&gt;(Drivers!B19+Drivers!B20),MIN(T86,MAX(0,Summary!B32/12-V86)),0)</f>
        <v>68633.10686</v>
      </c>
      <c r="X86" s="14">
        <f>IF(A86=(Drivers!B19+1),Summary!B31*Drivers!B38,0)</f>
        <v>0</v>
      </c>
      <c r="Y86" s="14">
        <f t="shared" si="3"/>
        <v>19733323.16</v>
      </c>
      <c r="Z86" s="14">
        <f t="shared" si="4"/>
        <v>127298.6274</v>
      </c>
      <c r="AA86" s="14">
        <f t="shared" si="7"/>
        <v>-142731497.5</v>
      </c>
      <c r="AB86" s="14">
        <f t="shared" si="5"/>
        <v>385700.4818</v>
      </c>
      <c r="AC86" s="14">
        <f>(E86+F86+G86+H86)*Drivers!B45</f>
        <v>0</v>
      </c>
      <c r="AD86" s="14">
        <f>IF(A86&lt;=Summary!B18,AB86+IF(A86=Summary!B18,Summary!B40,0),0)</f>
        <v>385700.4818</v>
      </c>
      <c r="AE86" s="14">
        <f>IF(A86&lt;=Summary!B18,Z86+IF(A86=Summary!B18,Summary!B40-Y86,0),0)</f>
        <v>127298.6274</v>
      </c>
      <c r="AF86" s="14">
        <f>AD86-IF(A86=0,Drivers!B44,0)</f>
        <v>385700.4818</v>
      </c>
      <c r="AG86" s="14">
        <f t="shared" si="8"/>
        <v>-151758836.4</v>
      </c>
    </row>
    <row r="87">
      <c r="A87" s="2">
        <v>85.0</v>
      </c>
      <c r="B87" s="15">
        <f>EDATE(Setup!B2,A87)</f>
        <v>48866</v>
      </c>
      <c r="C87" s="2" t="str">
        <f>IF(A87=0,"T0",IF(A87&lt;=Drivers!B19,"Preconstruction",IF(A87&lt;=(Drivers!B19+Drivers!B20),"Construction","Trading")))</f>
        <v>Trading</v>
      </c>
      <c r="D87" s="12">
        <f t="array" ref="D87">IF(AND(A87&gt;Drivers!B19,A87&lt;=(Drivers!B19+Drivers!B20)),SIN(PI()*(A87-Drivers!B19-0.5)/Drivers!B20)/SUMPRODUCT(SIN(PI()*(SEQUENCE(Drivers!B20,1)-0.5)/Drivers!B20)),0)</f>
        <v>0</v>
      </c>
      <c r="E87" s="14">
        <f>(Summary!B10+Summary!B12)*D87*(1+Drivers!B21)^(A87/12)</f>
        <v>0</v>
      </c>
      <c r="F87" s="14">
        <f>IF(AND(A87&gt;0,A87&lt;=Drivers!B19),Summary!B11*Drivers!B40/Drivers!B19*(1+Drivers!B21)^(A87/12),Summary!B11*(1-Drivers!B40 )*D87*(1+Drivers!B21)^(A87/12))</f>
        <v>0</v>
      </c>
      <c r="G87" s="14">
        <f>IF(AND(A87&gt;0,A87&lt;=2),Drivers!B16/2,0)</f>
        <v>0</v>
      </c>
      <c r="H87" s="14">
        <f>IF(A87=(Drivers!B19+Drivers!B20),Drivers!B17*(1+Drivers!B21)^(A87/12),0)</f>
        <v>0</v>
      </c>
      <c r="I87" s="14">
        <f>IF(AND(A87&gt;0,A87&lt;=(Drivers!B19+Drivers!B20)),Drivers!B18*(1+Drivers!B23)^(A87/12),0)</f>
        <v>0</v>
      </c>
      <c r="J87" s="14">
        <f t="shared" si="1"/>
        <v>0</v>
      </c>
      <c r="K87" s="12">
        <f>IF(A87&gt;(Drivers!B19+Drivers!B20),MIN(1,0.5+0.5*(A87-(Drivers!B19+Drivers!B20))/Drivers!B39),0)</f>
        <v>1</v>
      </c>
      <c r="L87" s="14">
        <f>Drivers!B2*(B87-B86)*Drivers!B24*(1+Drivers!B22)^(A87/12)*Drivers!B25*K87</f>
        <v>1069394.236</v>
      </c>
      <c r="M87" s="14">
        <f>L87*Drivers!B26</f>
        <v>213878.8472</v>
      </c>
      <c r="N87" s="14">
        <f>(L87+M87)*Drivers!B27</f>
        <v>449145.5791</v>
      </c>
      <c r="O87" s="14">
        <f>IF(A87&gt;(Drivers!B19+Drivers!B20),Drivers!B28/12*(1+Drivers!B23)^(A87/12),0)</f>
        <v>440079.9325</v>
      </c>
      <c r="P87" s="14">
        <f>(L87+M87)*Drivers!B29</f>
        <v>51330.92332</v>
      </c>
      <c r="Q87" s="14">
        <f>Drivers!B3*Drivers!B30*(1+Drivers!B22)^(A87/12)*Drivers!B31*(1-Drivers!B32 )*K87</f>
        <v>84165.28709</v>
      </c>
      <c r="R87" s="14">
        <f>IF(A87&gt;(Drivers!B19+Drivers!B20),Drivers!B33/12*(1+Drivers!B23)^(A87/12),0)</f>
        <v>66011.98987</v>
      </c>
      <c r="S87" s="14">
        <f t="shared" si="2"/>
        <v>360869.9454</v>
      </c>
      <c r="T87" s="14">
        <f t="shared" si="6"/>
        <v>19733323.16</v>
      </c>
      <c r="U87" s="14">
        <f>IF(AND(A87&gt;Drivers!B19,A87&lt;=(Drivers!B19+Drivers!B20)),Summary!B31*D87,0)</f>
        <v>0</v>
      </c>
      <c r="V87" s="14">
        <f>IF(A87&lt;=(Drivers!B19+Drivers!B20),(T87+U87/2)*Drivers!B36/12,T87*Drivers!B36/12)</f>
        <v>189111.0136</v>
      </c>
      <c r="W87" s="14">
        <f>IF(A87&gt;(Drivers!B19+Drivers!B20),MIN(T87,MAX(0,Summary!B32/12-V87)),0)</f>
        <v>69290.8408</v>
      </c>
      <c r="X87" s="14">
        <f>IF(A87=(Drivers!B19+1),Summary!B31*Drivers!B38,0)</f>
        <v>0</v>
      </c>
      <c r="Y87" s="14">
        <f t="shared" si="3"/>
        <v>19664032.32</v>
      </c>
      <c r="Z87" s="14">
        <f t="shared" si="4"/>
        <v>102468.091</v>
      </c>
      <c r="AA87" s="14">
        <f t="shared" si="7"/>
        <v>-142629029.4</v>
      </c>
      <c r="AB87" s="14">
        <f t="shared" si="5"/>
        <v>360869.9454</v>
      </c>
      <c r="AC87" s="14">
        <f>(E87+F87+G87+H87)*Drivers!B45</f>
        <v>0</v>
      </c>
      <c r="AD87" s="14">
        <f>IF(A87&lt;=Summary!B18,AB87+IF(A87=Summary!B18,Summary!B40,0),0)</f>
        <v>360869.9454</v>
      </c>
      <c r="AE87" s="14">
        <f>IF(A87&lt;=Summary!B18,Z87+IF(A87=Summary!B18,Summary!B40-Y87,0),0)</f>
        <v>102468.091</v>
      </c>
      <c r="AF87" s="14">
        <f>AD87-IF(A87=0,Drivers!B44,0)</f>
        <v>360869.9454</v>
      </c>
      <c r="AG87" s="14">
        <f t="shared" si="8"/>
        <v>-151397966.5</v>
      </c>
    </row>
    <row r="88">
      <c r="A88" s="2">
        <v>86.0</v>
      </c>
      <c r="B88" s="15">
        <f>EDATE(Setup!B2,A88)</f>
        <v>48897</v>
      </c>
      <c r="C88" s="2" t="str">
        <f>IF(A88=0,"T0",IF(A88&lt;=Drivers!B19,"Preconstruction",IF(A88&lt;=(Drivers!B19+Drivers!B20),"Construction","Trading")))</f>
        <v>Trading</v>
      </c>
      <c r="D88" s="12">
        <f t="array" ref="D88">IF(AND(A88&gt;Drivers!B19,A88&lt;=(Drivers!B19+Drivers!B20)),SIN(PI()*(A88-Drivers!B19-0.5)/Drivers!B20)/SUMPRODUCT(SIN(PI()*(SEQUENCE(Drivers!B20,1)-0.5)/Drivers!B20)),0)</f>
        <v>0</v>
      </c>
      <c r="E88" s="14">
        <f>(Summary!B10+Summary!B12)*D88*(1+Drivers!B21)^(A88/12)</f>
        <v>0</v>
      </c>
      <c r="F88" s="14">
        <f>IF(AND(A88&gt;0,A88&lt;=Drivers!B19),Summary!B11*Drivers!B40/Drivers!B19*(1+Drivers!B21)^(A88/12),Summary!B11*(1-Drivers!B40 )*D88*(1+Drivers!B21)^(A88/12))</f>
        <v>0</v>
      </c>
      <c r="G88" s="14">
        <f>IF(AND(A88&gt;0,A88&lt;=2),Drivers!B16/2,0)</f>
        <v>0</v>
      </c>
      <c r="H88" s="14">
        <f>IF(A88=(Drivers!B19+Drivers!B20),Drivers!B17*(1+Drivers!B21)^(A88/12),0)</f>
        <v>0</v>
      </c>
      <c r="I88" s="14">
        <f>IF(AND(A88&gt;0,A88&lt;=(Drivers!B19+Drivers!B20)),Drivers!B18*(1+Drivers!B23)^(A88/12),0)</f>
        <v>0</v>
      </c>
      <c r="J88" s="14">
        <f t="shared" si="1"/>
        <v>0</v>
      </c>
      <c r="K88" s="12">
        <f>IF(A88&gt;(Drivers!B19+Drivers!B20),MIN(1,0.5+0.5*(A88-(Drivers!B19+Drivers!B20))/Drivers!B39),0)</f>
        <v>1</v>
      </c>
      <c r="L88" s="14">
        <f>Drivers!B2*(B88-B87)*Drivers!B24*(1+Drivers!B22)^(A88/12)*Drivers!B25*K88</f>
        <v>1108658.326</v>
      </c>
      <c r="M88" s="14">
        <f>L88*Drivers!B26</f>
        <v>221731.6652</v>
      </c>
      <c r="N88" s="14">
        <f>(L88+M88)*Drivers!B27</f>
        <v>465636.497</v>
      </c>
      <c r="O88" s="14">
        <f>IF(A88&gt;(Drivers!B19+Drivers!B20),Drivers!B28/12*(1+Drivers!B23)^(A88/12),0)</f>
        <v>441520.6397</v>
      </c>
      <c r="P88" s="14">
        <f>(L88+M88)*Drivers!B29</f>
        <v>53215.59966</v>
      </c>
      <c r="Q88" s="14">
        <f>Drivers!B3*Drivers!B30*(1+Drivers!B22)^(A88/12)*Drivers!B31*(1-Drivers!B32 )*K88</f>
        <v>84440.82234</v>
      </c>
      <c r="R88" s="14">
        <f>IF(A88&gt;(Drivers!B19+Drivers!B20),Drivers!B33/12*(1+Drivers!B23)^(A88/12),0)</f>
        <v>66228.09595</v>
      </c>
      <c r="S88" s="14">
        <f t="shared" si="2"/>
        <v>388229.9815</v>
      </c>
      <c r="T88" s="14">
        <f t="shared" si="6"/>
        <v>19664032.32</v>
      </c>
      <c r="U88" s="14">
        <f>IF(AND(A88&gt;Drivers!B19,A88&lt;=(Drivers!B19+Drivers!B20)),Summary!B31*D88,0)</f>
        <v>0</v>
      </c>
      <c r="V88" s="14">
        <f>IF(A88&lt;=(Drivers!B19+Drivers!B20),(T88+U88/2)*Drivers!B36/12,T88*Drivers!B36/12)</f>
        <v>188446.9764</v>
      </c>
      <c r="W88" s="14">
        <f>IF(A88&gt;(Drivers!B19+Drivers!B20),MIN(T88,MAX(0,Summary!B32/12-V88)),0)</f>
        <v>69954.87803</v>
      </c>
      <c r="X88" s="14">
        <f>IF(A88=(Drivers!B19+1),Summary!B31*Drivers!B38,0)</f>
        <v>0</v>
      </c>
      <c r="Y88" s="14">
        <f t="shared" si="3"/>
        <v>19594077.44</v>
      </c>
      <c r="Z88" s="14">
        <f t="shared" si="4"/>
        <v>129828.1271</v>
      </c>
      <c r="AA88" s="14">
        <f t="shared" si="7"/>
        <v>-142499201.3</v>
      </c>
      <c r="AB88" s="14">
        <f t="shared" si="5"/>
        <v>388229.9815</v>
      </c>
      <c r="AC88" s="14">
        <f>(E88+F88+G88+H88)*Drivers!B45</f>
        <v>0</v>
      </c>
      <c r="AD88" s="14">
        <f>IF(A88&lt;=Summary!B18,AB88+IF(A88=Summary!B18,Summary!B40,0),0)</f>
        <v>388229.9815</v>
      </c>
      <c r="AE88" s="14">
        <f>IF(A88&lt;=Summary!B18,Z88+IF(A88=Summary!B18,Summary!B40-Y88,0),0)</f>
        <v>129828.1271</v>
      </c>
      <c r="AF88" s="14">
        <f>AD88-IF(A88=0,Drivers!B44,0)</f>
        <v>388229.9815</v>
      </c>
      <c r="AG88" s="14">
        <f t="shared" si="8"/>
        <v>-151009736.5</v>
      </c>
    </row>
    <row r="89">
      <c r="A89" s="2">
        <v>87.0</v>
      </c>
      <c r="B89" s="15">
        <f>EDATE(Setup!B2,A89)</f>
        <v>48927</v>
      </c>
      <c r="C89" s="2" t="str">
        <f>IF(A89=0,"T0",IF(A89&lt;=Drivers!B19,"Preconstruction",IF(A89&lt;=(Drivers!B19+Drivers!B20),"Construction","Trading")))</f>
        <v>Trading</v>
      </c>
      <c r="D89" s="12">
        <f t="array" ref="D89">IF(AND(A89&gt;Drivers!B19,A89&lt;=(Drivers!B19+Drivers!B20)),SIN(PI()*(A89-Drivers!B19-0.5)/Drivers!B20)/SUMPRODUCT(SIN(PI()*(SEQUENCE(Drivers!B20,1)-0.5)/Drivers!B20)),0)</f>
        <v>0</v>
      </c>
      <c r="E89" s="14">
        <f>(Summary!B10+Summary!B12)*D89*(1+Drivers!B21)^(A89/12)</f>
        <v>0</v>
      </c>
      <c r="F89" s="14">
        <f>IF(AND(A89&gt;0,A89&lt;=Drivers!B19),Summary!B11*Drivers!B40/Drivers!B19*(1+Drivers!B21)^(A89/12),Summary!B11*(1-Drivers!B40 )*D89*(1+Drivers!B21)^(A89/12))</f>
        <v>0</v>
      </c>
      <c r="G89" s="14">
        <f>IF(AND(A89&gt;0,A89&lt;=2),Drivers!B16/2,0)</f>
        <v>0</v>
      </c>
      <c r="H89" s="14">
        <f>IF(A89=(Drivers!B19+Drivers!B20),Drivers!B17*(1+Drivers!B21)^(A89/12),0)</f>
        <v>0</v>
      </c>
      <c r="I89" s="14">
        <f>IF(AND(A89&gt;0,A89&lt;=(Drivers!B19+Drivers!B20)),Drivers!B18*(1+Drivers!B23)^(A89/12),0)</f>
        <v>0</v>
      </c>
      <c r="J89" s="14">
        <f t="shared" si="1"/>
        <v>0</v>
      </c>
      <c r="K89" s="12">
        <f>IF(A89&gt;(Drivers!B19+Drivers!B20),MIN(1,0.5+0.5*(A89-(Drivers!B19+Drivers!B20))/Drivers!B39),0)</f>
        <v>1</v>
      </c>
      <c r="L89" s="14">
        <f>Drivers!B2*(B89-B88)*Drivers!B24*(1+Drivers!B22)^(A89/12)*Drivers!B25*K89</f>
        <v>1076407.534</v>
      </c>
      <c r="M89" s="14">
        <f>L89*Drivers!B26</f>
        <v>215281.5068</v>
      </c>
      <c r="N89" s="14">
        <f>(L89+M89)*Drivers!B27</f>
        <v>452091.1643</v>
      </c>
      <c r="O89" s="14">
        <f>IF(A89&gt;(Drivers!B19+Drivers!B20),Drivers!B28/12*(1+Drivers!B23)^(A89/12),0)</f>
        <v>442966.0633</v>
      </c>
      <c r="P89" s="14">
        <f>(L89+M89)*Drivers!B29</f>
        <v>51667.56163</v>
      </c>
      <c r="Q89" s="14">
        <f>Drivers!B3*Drivers!B30*(1+Drivers!B22)^(A89/12)*Drivers!B31*(1-Drivers!B32 )*K89</f>
        <v>84717.25962</v>
      </c>
      <c r="R89" s="14">
        <f>IF(A89&gt;(Drivers!B19+Drivers!B20),Drivers!B33/12*(1+Drivers!B23)^(A89/12),0)</f>
        <v>66444.9095</v>
      </c>
      <c r="S89" s="14">
        <f t="shared" si="2"/>
        <v>363236.6016</v>
      </c>
      <c r="T89" s="14">
        <f t="shared" si="6"/>
        <v>19594077.44</v>
      </c>
      <c r="U89" s="14">
        <f>IF(AND(A89&gt;Drivers!B19,A89&lt;=(Drivers!B19+Drivers!B20)),Summary!B31*D89,0)</f>
        <v>0</v>
      </c>
      <c r="V89" s="14">
        <f>IF(A89&lt;=(Drivers!B19+Drivers!B20),(T89+U89/2)*Drivers!B36/12,T89*Drivers!B36/12)</f>
        <v>187776.5755</v>
      </c>
      <c r="W89" s="14">
        <f>IF(A89&gt;(Drivers!B19+Drivers!B20),MIN(T89,MAX(0,Summary!B32/12-V89)),0)</f>
        <v>70625.27894</v>
      </c>
      <c r="X89" s="14">
        <f>IF(A89=(Drivers!B19+1),Summary!B31*Drivers!B38,0)</f>
        <v>0</v>
      </c>
      <c r="Y89" s="14">
        <f t="shared" si="3"/>
        <v>19523452.16</v>
      </c>
      <c r="Z89" s="14">
        <f t="shared" si="4"/>
        <v>104834.7472</v>
      </c>
      <c r="AA89" s="14">
        <f t="shared" si="7"/>
        <v>-142394366.6</v>
      </c>
      <c r="AB89" s="14">
        <f t="shared" si="5"/>
        <v>363236.6016</v>
      </c>
      <c r="AC89" s="14">
        <f>(E89+F89+G89+H89)*Drivers!B45</f>
        <v>0</v>
      </c>
      <c r="AD89" s="14">
        <f>IF(A89&lt;=Summary!B18,AB89+IF(A89=Summary!B18,Summary!B40,0),0)</f>
        <v>363236.6016</v>
      </c>
      <c r="AE89" s="14">
        <f>IF(A89&lt;=Summary!B18,Z89+IF(A89=Summary!B18,Summary!B40-Y89,0),0)</f>
        <v>104834.7472</v>
      </c>
      <c r="AF89" s="14">
        <f>AD89-IF(A89=0,Drivers!B44,0)</f>
        <v>363236.6016</v>
      </c>
      <c r="AG89" s="14">
        <f t="shared" si="8"/>
        <v>-150646499.9</v>
      </c>
    </row>
    <row r="90">
      <c r="A90" s="2">
        <v>88.0</v>
      </c>
      <c r="B90" s="15">
        <f>EDATE(Setup!B2,A90)</f>
        <v>48958</v>
      </c>
      <c r="C90" s="2" t="str">
        <f>IF(A90=0,"T0",IF(A90&lt;=Drivers!B19,"Preconstruction",IF(A90&lt;=(Drivers!B19+Drivers!B20),"Construction","Trading")))</f>
        <v>Trading</v>
      </c>
      <c r="D90" s="12">
        <f t="array" ref="D90">IF(AND(A90&gt;Drivers!B19,A90&lt;=(Drivers!B19+Drivers!B20)),SIN(PI()*(A90-Drivers!B19-0.5)/Drivers!B20)/SUMPRODUCT(SIN(PI()*(SEQUENCE(Drivers!B20,1)-0.5)/Drivers!B20)),0)</f>
        <v>0</v>
      </c>
      <c r="E90" s="14">
        <f>(Summary!B10+Summary!B12)*D90*(1+Drivers!B21)^(A90/12)</f>
        <v>0</v>
      </c>
      <c r="F90" s="14">
        <f>IF(AND(A90&gt;0,A90&lt;=Drivers!B19),Summary!B11*Drivers!B40/Drivers!B19*(1+Drivers!B21)^(A90/12),Summary!B11*(1-Drivers!B40 )*D90*(1+Drivers!B21)^(A90/12))</f>
        <v>0</v>
      </c>
      <c r="G90" s="14">
        <f>IF(AND(A90&gt;0,A90&lt;=2),Drivers!B16/2,0)</f>
        <v>0</v>
      </c>
      <c r="H90" s="14">
        <f>IF(A90=(Drivers!B19+Drivers!B20),Drivers!B17*(1+Drivers!B21)^(A90/12),0)</f>
        <v>0</v>
      </c>
      <c r="I90" s="14">
        <f>IF(AND(A90&gt;0,A90&lt;=(Drivers!B19+Drivers!B20)),Drivers!B18*(1+Drivers!B23)^(A90/12),0)</f>
        <v>0</v>
      </c>
      <c r="J90" s="14">
        <f t="shared" si="1"/>
        <v>0</v>
      </c>
      <c r="K90" s="12">
        <f>IF(A90&gt;(Drivers!B19+Drivers!B20),MIN(1,0.5+0.5*(A90-(Drivers!B19+Drivers!B20))/Drivers!B39),0)</f>
        <v>1</v>
      </c>
      <c r="L90" s="14">
        <f>Drivers!B2*(B90-B89)*Drivers!B24*(1+Drivers!B22)^(A90/12)*Drivers!B25*K90</f>
        <v>1115929.126</v>
      </c>
      <c r="M90" s="14">
        <f>L90*Drivers!B26</f>
        <v>223185.8252</v>
      </c>
      <c r="N90" s="14">
        <f>(L90+M90)*Drivers!B27</f>
        <v>468690.2329</v>
      </c>
      <c r="O90" s="14">
        <f>IF(A90&gt;(Drivers!B19+Drivers!B20),Drivers!B28/12*(1+Drivers!B23)^(A90/12),0)</f>
        <v>444416.219</v>
      </c>
      <c r="P90" s="14">
        <f>(L90+M90)*Drivers!B29</f>
        <v>53564.59804</v>
      </c>
      <c r="Q90" s="14">
        <f>Drivers!B3*Drivers!B30*(1+Drivers!B22)^(A90/12)*Drivers!B31*(1-Drivers!B32 )*K90</f>
        <v>84994.60188</v>
      </c>
      <c r="R90" s="14">
        <f>IF(A90&gt;(Drivers!B19+Drivers!B20),Drivers!B33/12*(1+Drivers!B23)^(A90/12),0)</f>
        <v>66662.43285</v>
      </c>
      <c r="S90" s="14">
        <f t="shared" si="2"/>
        <v>390776.0702</v>
      </c>
      <c r="T90" s="14">
        <f t="shared" si="6"/>
        <v>19523452.16</v>
      </c>
      <c r="U90" s="14">
        <f>IF(AND(A90&gt;Drivers!B19,A90&lt;=(Drivers!B19+Drivers!B20)),Summary!B31*D90,0)</f>
        <v>0</v>
      </c>
      <c r="V90" s="14">
        <f>IF(A90&lt;=(Drivers!B19+Drivers!B20),(T90+U90/2)*Drivers!B36/12,T90*Drivers!B36/12)</f>
        <v>187099.7499</v>
      </c>
      <c r="W90" s="14">
        <f>IF(A90&gt;(Drivers!B19+Drivers!B20),MIN(T90,MAX(0,Summary!B32/12-V90)),0)</f>
        <v>71302.10453</v>
      </c>
      <c r="X90" s="14">
        <f>IF(A90=(Drivers!B19+1),Summary!B31*Drivers!B38,0)</f>
        <v>0</v>
      </c>
      <c r="Y90" s="14">
        <f t="shared" si="3"/>
        <v>19452150.06</v>
      </c>
      <c r="Z90" s="14">
        <f t="shared" si="4"/>
        <v>132374.2158</v>
      </c>
      <c r="AA90" s="14">
        <f t="shared" si="7"/>
        <v>-142261992.3</v>
      </c>
      <c r="AB90" s="14">
        <f t="shared" si="5"/>
        <v>390776.0702</v>
      </c>
      <c r="AC90" s="14">
        <f>(E90+F90+G90+H90)*Drivers!B45</f>
        <v>0</v>
      </c>
      <c r="AD90" s="14">
        <f>IF(A90&lt;=Summary!B18,AB90+IF(A90=Summary!B18,Summary!B40,0),0)</f>
        <v>390776.0702</v>
      </c>
      <c r="AE90" s="14">
        <f>IF(A90&lt;=Summary!B18,Z90+IF(A90=Summary!B18,Summary!B40-Y90,0),0)</f>
        <v>132374.2158</v>
      </c>
      <c r="AF90" s="14">
        <f>AD90-IF(A90=0,Drivers!B44,0)</f>
        <v>390776.0702</v>
      </c>
      <c r="AG90" s="14">
        <f t="shared" si="8"/>
        <v>-150255723.8</v>
      </c>
    </row>
    <row r="91">
      <c r="A91" s="2">
        <v>89.0</v>
      </c>
      <c r="B91" s="15">
        <f>EDATE(Setup!B2,A91)</f>
        <v>48989</v>
      </c>
      <c r="C91" s="2" t="str">
        <f>IF(A91=0,"T0",IF(A91&lt;=Drivers!B19,"Preconstruction",IF(A91&lt;=(Drivers!B19+Drivers!B20),"Construction","Trading")))</f>
        <v>Trading</v>
      </c>
      <c r="D91" s="12">
        <f t="array" ref="D91">IF(AND(A91&gt;Drivers!B19,A91&lt;=(Drivers!B19+Drivers!B20)),SIN(PI()*(A91-Drivers!B19-0.5)/Drivers!B20)/SUMPRODUCT(SIN(PI()*(SEQUENCE(Drivers!B20,1)-0.5)/Drivers!B20)),0)</f>
        <v>0</v>
      </c>
      <c r="E91" s="14">
        <f>(Summary!B10+Summary!B12)*D91*(1+Drivers!B21)^(A91/12)</f>
        <v>0</v>
      </c>
      <c r="F91" s="14">
        <f>IF(AND(A91&gt;0,A91&lt;=Drivers!B19),Summary!B11*Drivers!B40/Drivers!B19*(1+Drivers!B21)^(A91/12),Summary!B11*(1-Drivers!B40 )*D91*(1+Drivers!B21)^(A91/12))</f>
        <v>0</v>
      </c>
      <c r="G91" s="14">
        <f>IF(AND(A91&gt;0,A91&lt;=2),Drivers!B16/2,0)</f>
        <v>0</v>
      </c>
      <c r="H91" s="14">
        <f>IF(A91=(Drivers!B19+Drivers!B20),Drivers!B17*(1+Drivers!B21)^(A91/12),0)</f>
        <v>0</v>
      </c>
      <c r="I91" s="14">
        <f>IF(AND(A91&gt;0,A91&lt;=(Drivers!B19+Drivers!B20)),Drivers!B18*(1+Drivers!B23)^(A91/12),0)</f>
        <v>0</v>
      </c>
      <c r="J91" s="14">
        <f t="shared" si="1"/>
        <v>0</v>
      </c>
      <c r="K91" s="12">
        <f>IF(A91&gt;(Drivers!B19+Drivers!B20),MIN(1,0.5+0.5*(A91-(Drivers!B19+Drivers!B20))/Drivers!B39),0)</f>
        <v>1</v>
      </c>
      <c r="L91" s="14">
        <f>Drivers!B2*(B91-B90)*Drivers!B24*(1+Drivers!B22)^(A91/12)*Drivers!B25*K91</f>
        <v>1119582.387</v>
      </c>
      <c r="M91" s="14">
        <f>L91*Drivers!B26</f>
        <v>223916.4775</v>
      </c>
      <c r="N91" s="14">
        <f>(L91+M91)*Drivers!B27</f>
        <v>470224.6027</v>
      </c>
      <c r="O91" s="14">
        <f>IF(A91&gt;(Drivers!B19+Drivers!B20),Drivers!B28/12*(1+Drivers!B23)^(A91/12),0)</f>
        <v>445871.122</v>
      </c>
      <c r="P91" s="14">
        <f>(L91+M91)*Drivers!B29</f>
        <v>53739.9546</v>
      </c>
      <c r="Q91" s="14">
        <f>Drivers!B3*Drivers!B30*(1+Drivers!B22)^(A91/12)*Drivers!B31*(1-Drivers!B32 )*K91</f>
        <v>85272.85209</v>
      </c>
      <c r="R91" s="14">
        <f>IF(A91&gt;(Drivers!B19+Drivers!B20),Drivers!B33/12*(1+Drivers!B23)^(A91/12),0)</f>
        <v>66880.6683</v>
      </c>
      <c r="S91" s="14">
        <f t="shared" si="2"/>
        <v>392055.3693</v>
      </c>
      <c r="T91" s="14">
        <f t="shared" si="6"/>
        <v>19452150.06</v>
      </c>
      <c r="U91" s="14">
        <f>IF(AND(A91&gt;Drivers!B19,A91&lt;=(Drivers!B19+Drivers!B20)),Summary!B31*D91,0)</f>
        <v>0</v>
      </c>
      <c r="V91" s="14">
        <f>IF(A91&lt;=(Drivers!B19+Drivers!B20),(T91+U91/2)*Drivers!B36/12,T91*Drivers!B36/12)</f>
        <v>186416.438</v>
      </c>
      <c r="W91" s="14">
        <f>IF(A91&gt;(Drivers!B19+Drivers!B20),MIN(T91,MAX(0,Summary!B32/12-V91)),0)</f>
        <v>71985.41637</v>
      </c>
      <c r="X91" s="14">
        <f>IF(A91=(Drivers!B19+1),Summary!B31*Drivers!B38,0)</f>
        <v>0</v>
      </c>
      <c r="Y91" s="14">
        <f t="shared" si="3"/>
        <v>19380164.64</v>
      </c>
      <c r="Z91" s="14">
        <f t="shared" si="4"/>
        <v>133653.5149</v>
      </c>
      <c r="AA91" s="14">
        <f t="shared" si="7"/>
        <v>-142128338.8</v>
      </c>
      <c r="AB91" s="14">
        <f t="shared" si="5"/>
        <v>392055.3693</v>
      </c>
      <c r="AC91" s="14">
        <f>(E91+F91+G91+H91)*Drivers!B45</f>
        <v>0</v>
      </c>
      <c r="AD91" s="14">
        <f>IF(A91&lt;=Summary!B18,AB91+IF(A91=Summary!B18,Summary!B40,0),0)</f>
        <v>392055.3693</v>
      </c>
      <c r="AE91" s="14">
        <f>IF(A91&lt;=Summary!B18,Z91+IF(A91=Summary!B18,Summary!B40-Y91,0),0)</f>
        <v>133653.5149</v>
      </c>
      <c r="AF91" s="14">
        <f>AD91-IF(A91=0,Drivers!B44,0)</f>
        <v>392055.3693</v>
      </c>
      <c r="AG91" s="14">
        <f t="shared" si="8"/>
        <v>-149863668.5</v>
      </c>
    </row>
    <row r="92">
      <c r="A92" s="2">
        <v>90.0</v>
      </c>
      <c r="B92" s="15">
        <f>EDATE(Setup!B2,A92)</f>
        <v>49017</v>
      </c>
      <c r="C92" s="2" t="str">
        <f>IF(A92=0,"T0",IF(A92&lt;=Drivers!B19,"Preconstruction",IF(A92&lt;=(Drivers!B19+Drivers!B20),"Construction","Trading")))</f>
        <v>Trading</v>
      </c>
      <c r="D92" s="12">
        <f t="array" ref="D92">IF(AND(A92&gt;Drivers!B19,A92&lt;=(Drivers!B19+Drivers!B20)),SIN(PI()*(A92-Drivers!B19-0.5)/Drivers!B20)/SUMPRODUCT(SIN(PI()*(SEQUENCE(Drivers!B20,1)-0.5)/Drivers!B20)),0)</f>
        <v>0</v>
      </c>
      <c r="E92" s="14">
        <f>(Summary!B10+Summary!B12)*D92*(1+Drivers!B21)^(A92/12)</f>
        <v>0</v>
      </c>
      <c r="F92" s="14">
        <f>IF(AND(A92&gt;0,A92&lt;=Drivers!B19),Summary!B11*Drivers!B40/Drivers!B19*(1+Drivers!B21)^(A92/12),Summary!B11*(1-Drivers!B40 )*D92*(1+Drivers!B21)^(A92/12))</f>
        <v>0</v>
      </c>
      <c r="G92" s="14">
        <f>IF(AND(A92&gt;0,A92&lt;=2),Drivers!B16/2,0)</f>
        <v>0</v>
      </c>
      <c r="H92" s="14">
        <f>IF(A92=(Drivers!B19+Drivers!B20),Drivers!B17*(1+Drivers!B21)^(A92/12),0)</f>
        <v>0</v>
      </c>
      <c r="I92" s="14">
        <f>IF(AND(A92&gt;0,A92&lt;=(Drivers!B19+Drivers!B20)),Drivers!B18*(1+Drivers!B23)^(A92/12),0)</f>
        <v>0</v>
      </c>
      <c r="J92" s="14">
        <f t="shared" si="1"/>
        <v>0</v>
      </c>
      <c r="K92" s="12">
        <f>IF(A92&gt;(Drivers!B19+Drivers!B20),MIN(1,0.5+0.5*(A92-(Drivers!B19+Drivers!B20))/Drivers!B39),0)</f>
        <v>1</v>
      </c>
      <c r="L92" s="14">
        <f>Drivers!B2*(B92-B91)*Drivers!B24*(1+Drivers!B22)^(A92/12)*Drivers!B25*K92</f>
        <v>1014546.227</v>
      </c>
      <c r="M92" s="14">
        <f>L92*Drivers!B26</f>
        <v>202909.2455</v>
      </c>
      <c r="N92" s="14">
        <f>(L92+M92)*Drivers!B27</f>
        <v>426109.4155</v>
      </c>
      <c r="O92" s="14">
        <f>IF(A92&gt;(Drivers!B19+Drivers!B20),Drivers!B28/12*(1+Drivers!B23)^(A92/12),0)</f>
        <v>447330.7881</v>
      </c>
      <c r="P92" s="14">
        <f>(L92+M92)*Drivers!B29</f>
        <v>48698.21891</v>
      </c>
      <c r="Q92" s="14">
        <f>Drivers!B3*Drivers!B30*(1+Drivers!B22)^(A92/12)*Drivers!B31*(1-Drivers!B32 )*K92</f>
        <v>85552.01322</v>
      </c>
      <c r="R92" s="14">
        <f>IF(A92&gt;(Drivers!B19+Drivers!B20),Drivers!B33/12*(1+Drivers!B23)^(A92/12),0)</f>
        <v>67099.61821</v>
      </c>
      <c r="S92" s="14">
        <f t="shared" si="2"/>
        <v>313769.4453</v>
      </c>
      <c r="T92" s="14">
        <f t="shared" si="6"/>
        <v>19380164.64</v>
      </c>
      <c r="U92" s="14">
        <f>IF(AND(A92&gt;Drivers!B19,A92&lt;=(Drivers!B19+Drivers!B20)),Summary!B31*D92,0)</f>
        <v>0</v>
      </c>
      <c r="V92" s="14">
        <f>IF(A92&lt;=(Drivers!B19+Drivers!B20),(T92+U92/2)*Drivers!B36/12,T92*Drivers!B36/12)</f>
        <v>185726.5778</v>
      </c>
      <c r="W92" s="14">
        <f>IF(A92&gt;(Drivers!B19+Drivers!B20),MIN(T92,MAX(0,Summary!B32/12-V92)),0)</f>
        <v>72675.27661</v>
      </c>
      <c r="X92" s="14">
        <f>IF(A92=(Drivers!B19+1),Summary!B31*Drivers!B38,0)</f>
        <v>0</v>
      </c>
      <c r="Y92" s="14">
        <f t="shared" si="3"/>
        <v>19307489.36</v>
      </c>
      <c r="Z92" s="14">
        <f t="shared" si="4"/>
        <v>55367.59093</v>
      </c>
      <c r="AA92" s="14">
        <f t="shared" si="7"/>
        <v>-142072971.2</v>
      </c>
      <c r="AB92" s="14">
        <f t="shared" si="5"/>
        <v>313769.4453</v>
      </c>
      <c r="AC92" s="14">
        <f>(E92+F92+G92+H92)*Drivers!B45</f>
        <v>0</v>
      </c>
      <c r="AD92" s="14">
        <f>IF(A92&lt;=Summary!B18,AB92+IF(A92=Summary!B18,Summary!B40,0),0)</f>
        <v>313769.4453</v>
      </c>
      <c r="AE92" s="14">
        <f>IF(A92&lt;=Summary!B18,Z92+IF(A92=Summary!B18,Summary!B40-Y92,0),0)</f>
        <v>55367.59093</v>
      </c>
      <c r="AF92" s="14">
        <f>AD92-IF(A92=0,Drivers!B44,0)</f>
        <v>313769.4453</v>
      </c>
      <c r="AG92" s="14">
        <f t="shared" si="8"/>
        <v>-149549899</v>
      </c>
    </row>
    <row r="93">
      <c r="A93" s="2">
        <v>91.0</v>
      </c>
      <c r="B93" s="15">
        <f>EDATE(Setup!B2,A93)</f>
        <v>49048</v>
      </c>
      <c r="C93" s="2" t="str">
        <f>IF(A93=0,"T0",IF(A93&lt;=Drivers!B19,"Preconstruction",IF(A93&lt;=(Drivers!B19+Drivers!B20),"Construction","Trading")))</f>
        <v>Trading</v>
      </c>
      <c r="D93" s="12">
        <f t="array" ref="D93">IF(AND(A93&gt;Drivers!B19,A93&lt;=(Drivers!B19+Drivers!B20)),SIN(PI()*(A93-Drivers!B19-0.5)/Drivers!B20)/SUMPRODUCT(SIN(PI()*(SEQUENCE(Drivers!B20,1)-0.5)/Drivers!B20)),0)</f>
        <v>0</v>
      </c>
      <c r="E93" s="14">
        <f>(Summary!B10+Summary!B12)*D93*(1+Drivers!B21)^(A93/12)</f>
        <v>0</v>
      </c>
      <c r="F93" s="14">
        <f>IF(AND(A93&gt;0,A93&lt;=Drivers!B19),Summary!B11*Drivers!B40/Drivers!B19*(1+Drivers!B21)^(A93/12),Summary!B11*(1-Drivers!B40 )*D93*(1+Drivers!B21)^(A93/12))</f>
        <v>0</v>
      </c>
      <c r="G93" s="14">
        <f>IF(AND(A93&gt;0,A93&lt;=2),Drivers!B16/2,0)</f>
        <v>0</v>
      </c>
      <c r="H93" s="14">
        <f>IF(A93=(Drivers!B19+Drivers!B20),Drivers!B17*(1+Drivers!B21)^(A93/12),0)</f>
        <v>0</v>
      </c>
      <c r="I93" s="14">
        <f>IF(AND(A93&gt;0,A93&lt;=(Drivers!B19+Drivers!B20)),Drivers!B18*(1+Drivers!B23)^(A93/12),0)</f>
        <v>0</v>
      </c>
      <c r="J93" s="14">
        <f t="shared" si="1"/>
        <v>0</v>
      </c>
      <c r="K93" s="12">
        <f>IF(A93&gt;(Drivers!B19+Drivers!B20),MIN(1,0.5+0.5*(A93-(Drivers!B19+Drivers!B20))/Drivers!B39),0)</f>
        <v>1</v>
      </c>
      <c r="L93" s="14">
        <f>Drivers!B2*(B93-B92)*Drivers!B24*(1+Drivers!B22)^(A93/12)*Drivers!B25*K93</f>
        <v>1126924.829</v>
      </c>
      <c r="M93" s="14">
        <f>L93*Drivers!B26</f>
        <v>225384.9658</v>
      </c>
      <c r="N93" s="14">
        <f>(L93+M93)*Drivers!B27</f>
        <v>473308.4283</v>
      </c>
      <c r="O93" s="14">
        <f>IF(A93&gt;(Drivers!B19+Drivers!B20),Drivers!B28/12*(1+Drivers!B23)^(A93/12),0)</f>
        <v>448795.2327</v>
      </c>
      <c r="P93" s="14">
        <f>(L93+M93)*Drivers!B29</f>
        <v>54092.3918</v>
      </c>
      <c r="Q93" s="14">
        <f>Drivers!B3*Drivers!B30*(1+Drivers!B22)^(A93/12)*Drivers!B31*(1-Drivers!B32 )*K93</f>
        <v>85832.08825</v>
      </c>
      <c r="R93" s="14">
        <f>IF(A93&gt;(Drivers!B19+Drivers!B20),Drivers!B33/12*(1+Drivers!B23)^(A93/12),0)</f>
        <v>67319.2849</v>
      </c>
      <c r="S93" s="14">
        <f t="shared" si="2"/>
        <v>394626.5457</v>
      </c>
      <c r="T93" s="14">
        <f t="shared" si="6"/>
        <v>19307489.36</v>
      </c>
      <c r="U93" s="14">
        <f>IF(AND(A93&gt;Drivers!B19,A93&lt;=(Drivers!B19+Drivers!B20)),Summary!B31*D93,0)</f>
        <v>0</v>
      </c>
      <c r="V93" s="14">
        <f>IF(A93&lt;=(Drivers!B19+Drivers!B20),(T93+U93/2)*Drivers!B36/12,T93*Drivers!B36/12)</f>
        <v>185030.1064</v>
      </c>
      <c r="W93" s="14">
        <f>IF(A93&gt;(Drivers!B19+Drivers!B20),MIN(T93,MAX(0,Summary!B32/12-V93)),0)</f>
        <v>73371.74801</v>
      </c>
      <c r="X93" s="14">
        <f>IF(A93=(Drivers!B19+1),Summary!B31*Drivers!B38,0)</f>
        <v>0</v>
      </c>
      <c r="Y93" s="14">
        <f t="shared" si="3"/>
        <v>19234117.62</v>
      </c>
      <c r="Z93" s="14">
        <f t="shared" si="4"/>
        <v>136224.6912</v>
      </c>
      <c r="AA93" s="14">
        <f t="shared" si="7"/>
        <v>-141936746.5</v>
      </c>
      <c r="AB93" s="14">
        <f t="shared" si="5"/>
        <v>394626.5457</v>
      </c>
      <c r="AC93" s="14">
        <f>(E93+F93+G93+H93)*Drivers!B45</f>
        <v>0</v>
      </c>
      <c r="AD93" s="14">
        <f>IF(A93&lt;=Summary!B18,AB93+IF(A93=Summary!B18,Summary!B40,0),0)</f>
        <v>394626.5457</v>
      </c>
      <c r="AE93" s="14">
        <f>IF(A93&lt;=Summary!B18,Z93+IF(A93=Summary!B18,Summary!B40-Y93,0),0)</f>
        <v>136224.6912</v>
      </c>
      <c r="AF93" s="14">
        <f>AD93-IF(A93=0,Drivers!B44,0)</f>
        <v>394626.5457</v>
      </c>
      <c r="AG93" s="14">
        <f t="shared" si="8"/>
        <v>-149155272.5</v>
      </c>
    </row>
    <row r="94">
      <c r="A94" s="2">
        <v>92.0</v>
      </c>
      <c r="B94" s="15">
        <f>EDATE(Setup!B2,A94)</f>
        <v>49078</v>
      </c>
      <c r="C94" s="2" t="str">
        <f>IF(A94=0,"T0",IF(A94&lt;=Drivers!B19,"Preconstruction",IF(A94&lt;=(Drivers!B19+Drivers!B20),"Construction","Trading")))</f>
        <v>Trading</v>
      </c>
      <c r="D94" s="12">
        <f t="array" ref="D94">IF(AND(A94&gt;Drivers!B19,A94&lt;=(Drivers!B19+Drivers!B20)),SIN(PI()*(A94-Drivers!B19-0.5)/Drivers!B20)/SUMPRODUCT(SIN(PI()*(SEQUENCE(Drivers!B20,1)-0.5)/Drivers!B20)),0)</f>
        <v>0</v>
      </c>
      <c r="E94" s="14">
        <f>(Summary!B10+Summary!B12)*D94*(1+Drivers!B21)^(A94/12)</f>
        <v>0</v>
      </c>
      <c r="F94" s="14">
        <f>IF(AND(A94&gt;0,A94&lt;=Drivers!B19),Summary!B11*Drivers!B40/Drivers!B19*(1+Drivers!B21)^(A94/12),Summary!B11*(1-Drivers!B40 )*D94*(1+Drivers!B21)^(A94/12))</f>
        <v>0</v>
      </c>
      <c r="G94" s="14">
        <f>IF(AND(A94&gt;0,A94&lt;=2),Drivers!B16/2,0)</f>
        <v>0</v>
      </c>
      <c r="H94" s="14">
        <f>IF(A94=(Drivers!B19+Drivers!B20),Drivers!B17*(1+Drivers!B21)^(A94/12),0)</f>
        <v>0</v>
      </c>
      <c r="I94" s="14">
        <f>IF(AND(A94&gt;0,A94&lt;=(Drivers!B19+Drivers!B20)),Drivers!B18*(1+Drivers!B23)^(A94/12),0)</f>
        <v>0</v>
      </c>
      <c r="J94" s="14">
        <f t="shared" si="1"/>
        <v>0</v>
      </c>
      <c r="K94" s="12">
        <f>IF(A94&gt;(Drivers!B19+Drivers!B20),MIN(1,0.5+0.5*(A94-(Drivers!B19+Drivers!B20))/Drivers!B39),0)</f>
        <v>1</v>
      </c>
      <c r="L94" s="14">
        <f>Drivers!B2*(B94-B93)*Drivers!B24*(1+Drivers!B22)^(A94/12)*Drivers!B25*K94</f>
        <v>1094142.666</v>
      </c>
      <c r="M94" s="14">
        <f>L94*Drivers!B26</f>
        <v>218828.5331</v>
      </c>
      <c r="N94" s="14">
        <f>(L94+M94)*Drivers!B27</f>
        <v>459539.9196</v>
      </c>
      <c r="O94" s="14">
        <f>IF(A94&gt;(Drivers!B19+Drivers!B20),Drivers!B28/12*(1+Drivers!B23)^(A94/12),0)</f>
        <v>450264.4715</v>
      </c>
      <c r="P94" s="14">
        <f>(L94+M94)*Drivers!B29</f>
        <v>52518.84795</v>
      </c>
      <c r="Q94" s="14">
        <f>Drivers!B3*Drivers!B30*(1+Drivers!B22)^(A94/12)*Drivers!B31*(1-Drivers!B32 )*K94</f>
        <v>86113.08017</v>
      </c>
      <c r="R94" s="14">
        <f>IF(A94&gt;(Drivers!B19+Drivers!B20),Drivers!B33/12*(1+Drivers!B23)^(A94/12),0)</f>
        <v>67539.67072</v>
      </c>
      <c r="S94" s="14">
        <f t="shared" si="2"/>
        <v>369221.3692</v>
      </c>
      <c r="T94" s="14">
        <f t="shared" si="6"/>
        <v>19234117.62</v>
      </c>
      <c r="U94" s="14">
        <f>IF(AND(A94&gt;Drivers!B19,A94&lt;=(Drivers!B19+Drivers!B20)),Summary!B31*D94,0)</f>
        <v>0</v>
      </c>
      <c r="V94" s="14">
        <f>IF(A94&lt;=(Drivers!B19+Drivers!B20),(T94+U94/2)*Drivers!B36/12,T94*Drivers!B36/12)</f>
        <v>184326.9605</v>
      </c>
      <c r="W94" s="14">
        <f>IF(A94&gt;(Drivers!B19+Drivers!B20),MIN(T94,MAX(0,Summary!B32/12-V94)),0)</f>
        <v>74074.89393</v>
      </c>
      <c r="X94" s="14">
        <f>IF(A94=(Drivers!B19+1),Summary!B31*Drivers!B38,0)</f>
        <v>0</v>
      </c>
      <c r="Y94" s="14">
        <f t="shared" si="3"/>
        <v>19160042.72</v>
      </c>
      <c r="Z94" s="14">
        <f t="shared" si="4"/>
        <v>110819.5148</v>
      </c>
      <c r="AA94" s="14">
        <f t="shared" si="7"/>
        <v>-141825927</v>
      </c>
      <c r="AB94" s="14">
        <f t="shared" si="5"/>
        <v>369221.3692</v>
      </c>
      <c r="AC94" s="14">
        <f>(E94+F94+G94+H94)*Drivers!B45</f>
        <v>0</v>
      </c>
      <c r="AD94" s="14">
        <f>IF(A94&lt;=Summary!B18,AB94+IF(A94=Summary!B18,Summary!B40,0),0)</f>
        <v>369221.3692</v>
      </c>
      <c r="AE94" s="14">
        <f>IF(A94&lt;=Summary!B18,Z94+IF(A94=Summary!B18,Summary!B40-Y94,0),0)</f>
        <v>110819.5148</v>
      </c>
      <c r="AF94" s="14">
        <f>AD94-IF(A94=0,Drivers!B44,0)</f>
        <v>369221.3692</v>
      </c>
      <c r="AG94" s="14">
        <f t="shared" si="8"/>
        <v>-148786051.1</v>
      </c>
    </row>
    <row r="95">
      <c r="A95" s="2">
        <v>93.0</v>
      </c>
      <c r="B95" s="15">
        <f>EDATE(Setup!B2,A95)</f>
        <v>49109</v>
      </c>
      <c r="C95" s="2" t="str">
        <f>IF(A95=0,"T0",IF(A95&lt;=Drivers!B19,"Preconstruction",IF(A95&lt;=(Drivers!B19+Drivers!B20),"Construction","Trading")))</f>
        <v>Trading</v>
      </c>
      <c r="D95" s="12">
        <f t="array" ref="D95">IF(AND(A95&gt;Drivers!B19,A95&lt;=(Drivers!B19+Drivers!B20)),SIN(PI()*(A95-Drivers!B19-0.5)/Drivers!B20)/SUMPRODUCT(SIN(PI()*(SEQUENCE(Drivers!B20,1)-0.5)/Drivers!B20)),0)</f>
        <v>0</v>
      </c>
      <c r="E95" s="14">
        <f>(Summary!B10+Summary!B12)*D95*(1+Drivers!B21)^(A95/12)</f>
        <v>0</v>
      </c>
      <c r="F95" s="14">
        <f>IF(AND(A95&gt;0,A95&lt;=Drivers!B19),Summary!B11*Drivers!B40/Drivers!B19*(1+Drivers!B21)^(A95/12),Summary!B11*(1-Drivers!B40 )*D95*(1+Drivers!B21)^(A95/12))</f>
        <v>0</v>
      </c>
      <c r="G95" s="14">
        <f>IF(AND(A95&gt;0,A95&lt;=2),Drivers!B16/2,0)</f>
        <v>0</v>
      </c>
      <c r="H95" s="14">
        <f>IF(A95=(Drivers!B19+Drivers!B20),Drivers!B17*(1+Drivers!B21)^(A95/12),0)</f>
        <v>0</v>
      </c>
      <c r="I95" s="14">
        <f>IF(AND(A95&gt;0,A95&lt;=(Drivers!B19+Drivers!B20)),Drivers!B18*(1+Drivers!B23)^(A95/12),0)</f>
        <v>0</v>
      </c>
      <c r="J95" s="14">
        <f t="shared" si="1"/>
        <v>0</v>
      </c>
      <c r="K95" s="12">
        <f>IF(A95&gt;(Drivers!B19+Drivers!B20),MIN(1,0.5+0.5*(A95-(Drivers!B19+Drivers!B20))/Drivers!B39),0)</f>
        <v>1</v>
      </c>
      <c r="L95" s="14">
        <f>Drivers!B2*(B95-B94)*Drivers!B24*(1+Drivers!B22)^(A95/12)*Drivers!B25*K95</f>
        <v>1134315.424</v>
      </c>
      <c r="M95" s="14">
        <f>L95*Drivers!B26</f>
        <v>226863.0848</v>
      </c>
      <c r="N95" s="14">
        <f>(L95+M95)*Drivers!B27</f>
        <v>476412.4781</v>
      </c>
      <c r="O95" s="14">
        <f>IF(A95&gt;(Drivers!B19+Drivers!B20),Drivers!B28/12*(1+Drivers!B23)^(A95/12),0)</f>
        <v>451738.5202</v>
      </c>
      <c r="P95" s="14">
        <f>(L95+M95)*Drivers!B29</f>
        <v>54447.14036</v>
      </c>
      <c r="Q95" s="14">
        <f>Drivers!B3*Drivers!B30*(1+Drivers!B22)^(A95/12)*Drivers!B31*(1-Drivers!B32 )*K95</f>
        <v>86394.99198</v>
      </c>
      <c r="R95" s="14">
        <f>IF(A95&gt;(Drivers!B19+Drivers!B20),Drivers!B33/12*(1+Drivers!B23)^(A95/12),0)</f>
        <v>67760.77803</v>
      </c>
      <c r="S95" s="14">
        <f t="shared" si="2"/>
        <v>397214.5843</v>
      </c>
      <c r="T95" s="14">
        <f t="shared" si="6"/>
        <v>19160042.72</v>
      </c>
      <c r="U95" s="14">
        <f>IF(AND(A95&gt;Drivers!B19,A95&lt;=(Drivers!B19+Drivers!B20)),Summary!B31*D95,0)</f>
        <v>0</v>
      </c>
      <c r="V95" s="14">
        <f>IF(A95&lt;=(Drivers!B19+Drivers!B20),(T95+U95/2)*Drivers!B36/12,T95*Drivers!B36/12)</f>
        <v>183617.0761</v>
      </c>
      <c r="W95" s="14">
        <f>IF(A95&gt;(Drivers!B19+Drivers!B20),MIN(T95,MAX(0,Summary!B32/12-V95)),0)</f>
        <v>74784.77833</v>
      </c>
      <c r="X95" s="14">
        <f>IF(A95=(Drivers!B19+1),Summary!B31*Drivers!B38,0)</f>
        <v>0</v>
      </c>
      <c r="Y95" s="14">
        <f t="shared" si="3"/>
        <v>19085257.94</v>
      </c>
      <c r="Z95" s="14">
        <f t="shared" si="4"/>
        <v>138812.7299</v>
      </c>
      <c r="AA95" s="14">
        <f t="shared" si="7"/>
        <v>-141687114.3</v>
      </c>
      <c r="AB95" s="14">
        <f t="shared" si="5"/>
        <v>397214.5843</v>
      </c>
      <c r="AC95" s="14">
        <f>(E95+F95+G95+H95)*Drivers!B45</f>
        <v>0</v>
      </c>
      <c r="AD95" s="14">
        <f>IF(A95&lt;=Summary!B18,AB95+IF(A95=Summary!B18,Summary!B40,0),0)</f>
        <v>397214.5843</v>
      </c>
      <c r="AE95" s="14">
        <f>IF(A95&lt;=Summary!B18,Z95+IF(A95=Summary!B18,Summary!B40-Y95,0),0)</f>
        <v>138812.7299</v>
      </c>
      <c r="AF95" s="14">
        <f>AD95-IF(A95=0,Drivers!B44,0)</f>
        <v>397214.5843</v>
      </c>
      <c r="AG95" s="14">
        <f t="shared" si="8"/>
        <v>-148388836.5</v>
      </c>
    </row>
    <row r="96">
      <c r="A96" s="2">
        <v>94.0</v>
      </c>
      <c r="B96" s="15">
        <f>EDATE(Setup!B2,A96)</f>
        <v>49139</v>
      </c>
      <c r="C96" s="2" t="str">
        <f>IF(A96=0,"T0",IF(A96&lt;=Drivers!B19,"Preconstruction",IF(A96&lt;=(Drivers!B19+Drivers!B20),"Construction","Trading")))</f>
        <v>Trading</v>
      </c>
      <c r="D96" s="12">
        <f t="array" ref="D96">IF(AND(A96&gt;Drivers!B19,A96&lt;=(Drivers!B19+Drivers!B20)),SIN(PI()*(A96-Drivers!B19-0.5)/Drivers!B20)/SUMPRODUCT(SIN(PI()*(SEQUENCE(Drivers!B20,1)-0.5)/Drivers!B20)),0)</f>
        <v>0</v>
      </c>
      <c r="E96" s="14">
        <f>(Summary!B10+Summary!B12)*D96*(1+Drivers!B21)^(A96/12)</f>
        <v>0</v>
      </c>
      <c r="F96" s="14">
        <f>IF(AND(A96&gt;0,A96&lt;=Drivers!B19),Summary!B11*Drivers!B40/Drivers!B19*(1+Drivers!B21)^(A96/12),Summary!B11*(1-Drivers!B40 )*D96*(1+Drivers!B21)^(A96/12))</f>
        <v>0</v>
      </c>
      <c r="G96" s="14">
        <f>IF(AND(A96&gt;0,A96&lt;=2),Drivers!B16/2,0)</f>
        <v>0</v>
      </c>
      <c r="H96" s="14">
        <f>IF(A96=(Drivers!B19+Drivers!B20),Drivers!B17*(1+Drivers!B21)^(A96/12),0)</f>
        <v>0</v>
      </c>
      <c r="I96" s="14">
        <f>IF(AND(A96&gt;0,A96&lt;=(Drivers!B19+Drivers!B20)),Drivers!B18*(1+Drivers!B23)^(A96/12),0)</f>
        <v>0</v>
      </c>
      <c r="J96" s="14">
        <f t="shared" si="1"/>
        <v>0</v>
      </c>
      <c r="K96" s="12">
        <f>IF(A96&gt;(Drivers!B19+Drivers!B20),MIN(1,0.5+0.5*(A96-(Drivers!B19+Drivers!B20))/Drivers!B39),0)</f>
        <v>1</v>
      </c>
      <c r="L96" s="14">
        <f>Drivers!B2*(B96-B95)*Drivers!B24*(1+Drivers!B22)^(A96/12)*Drivers!B25*K96</f>
        <v>1101318.269</v>
      </c>
      <c r="M96" s="14">
        <f>L96*Drivers!B26</f>
        <v>220263.6537</v>
      </c>
      <c r="N96" s="14">
        <f>(L96+M96)*Drivers!B27</f>
        <v>462553.6729</v>
      </c>
      <c r="O96" s="14">
        <f>IF(A96&gt;(Drivers!B19+Drivers!B20),Drivers!B28/12*(1+Drivers!B23)^(A96/12),0)</f>
        <v>453217.3945</v>
      </c>
      <c r="P96" s="14">
        <f>(L96+M96)*Drivers!B29</f>
        <v>52863.2769</v>
      </c>
      <c r="Q96" s="14">
        <f>Drivers!B3*Drivers!B30*(1+Drivers!B22)^(A96/12)*Drivers!B31*(1-Drivers!B32 )*K96</f>
        <v>86677.82671</v>
      </c>
      <c r="R96" s="14">
        <f>IF(A96&gt;(Drivers!B19+Drivers!B20),Drivers!B33/12*(1+Drivers!B23)^(A96/12),0)</f>
        <v>67982.60918</v>
      </c>
      <c r="S96" s="14">
        <f t="shared" si="2"/>
        <v>371642.7957</v>
      </c>
      <c r="T96" s="14">
        <f t="shared" si="6"/>
        <v>19085257.94</v>
      </c>
      <c r="U96" s="14">
        <f>IF(AND(A96&gt;Drivers!B19,A96&lt;=(Drivers!B19+Drivers!B20)),Summary!B31*D96,0)</f>
        <v>0</v>
      </c>
      <c r="V96" s="14">
        <f>IF(A96&lt;=(Drivers!B19+Drivers!B20),(T96+U96/2)*Drivers!B36/12,T96*Drivers!B36/12)</f>
        <v>182900.3886</v>
      </c>
      <c r="W96" s="14">
        <f>IF(A96&gt;(Drivers!B19+Drivers!B20),MIN(T96,MAX(0,Summary!B32/12-V96)),0)</f>
        <v>75501.46578</v>
      </c>
      <c r="X96" s="14">
        <f>IF(A96=(Drivers!B19+1),Summary!B31*Drivers!B38,0)</f>
        <v>0</v>
      </c>
      <c r="Y96" s="14">
        <f t="shared" si="3"/>
        <v>19009756.48</v>
      </c>
      <c r="Z96" s="14">
        <f t="shared" si="4"/>
        <v>113240.9413</v>
      </c>
      <c r="AA96" s="14">
        <f t="shared" si="7"/>
        <v>-141573873.4</v>
      </c>
      <c r="AB96" s="14">
        <f t="shared" si="5"/>
        <v>371642.7957</v>
      </c>
      <c r="AC96" s="14">
        <f>(E96+F96+G96+H96)*Drivers!B45</f>
        <v>0</v>
      </c>
      <c r="AD96" s="14">
        <f>IF(A96&lt;=Summary!B18,AB96+IF(A96=Summary!B18,Summary!B40,0),0)</f>
        <v>371642.7957</v>
      </c>
      <c r="AE96" s="14">
        <f>IF(A96&lt;=Summary!B18,Z96+IF(A96=Summary!B18,Summary!B40-Y96,0),0)</f>
        <v>113240.9413</v>
      </c>
      <c r="AF96" s="14">
        <f>AD96-IF(A96=0,Drivers!B44,0)</f>
        <v>371642.7957</v>
      </c>
      <c r="AG96" s="14">
        <f t="shared" si="8"/>
        <v>-148017193.7</v>
      </c>
    </row>
    <row r="97">
      <c r="A97" s="2">
        <v>95.0</v>
      </c>
      <c r="B97" s="15">
        <f>EDATE(Setup!B2,A97)</f>
        <v>49170</v>
      </c>
      <c r="C97" s="2" t="str">
        <f>IF(A97=0,"T0",IF(A97&lt;=Drivers!B19,"Preconstruction",IF(A97&lt;=(Drivers!B19+Drivers!B20),"Construction","Trading")))</f>
        <v>Trading</v>
      </c>
      <c r="D97" s="12">
        <f t="array" ref="D97">IF(AND(A97&gt;Drivers!B19,A97&lt;=(Drivers!B19+Drivers!B20)),SIN(PI()*(A97-Drivers!B19-0.5)/Drivers!B20)/SUMPRODUCT(SIN(PI()*(SEQUENCE(Drivers!B20,1)-0.5)/Drivers!B20)),0)</f>
        <v>0</v>
      </c>
      <c r="E97" s="14">
        <f>(Summary!B10+Summary!B12)*D97*(1+Drivers!B21)^(A97/12)</f>
        <v>0</v>
      </c>
      <c r="F97" s="14">
        <f>IF(AND(A97&gt;0,A97&lt;=Drivers!B19),Summary!B11*Drivers!B40/Drivers!B19*(1+Drivers!B21)^(A97/12),Summary!B11*(1-Drivers!B40 )*D97*(1+Drivers!B21)^(A97/12))</f>
        <v>0</v>
      </c>
      <c r="G97" s="14">
        <f>IF(AND(A97&gt;0,A97&lt;=2),Drivers!B16/2,0)</f>
        <v>0</v>
      </c>
      <c r="H97" s="14">
        <f>IF(A97=(Drivers!B19+Drivers!B20),Drivers!B17*(1+Drivers!B21)^(A97/12),0)</f>
        <v>0</v>
      </c>
      <c r="I97" s="14">
        <f>IF(AND(A97&gt;0,A97&lt;=(Drivers!B19+Drivers!B20)),Drivers!B18*(1+Drivers!B23)^(A97/12),0)</f>
        <v>0</v>
      </c>
      <c r="J97" s="14">
        <f t="shared" si="1"/>
        <v>0</v>
      </c>
      <c r="K97" s="12">
        <f>IF(A97&gt;(Drivers!B19+Drivers!B20),MIN(1,0.5+0.5*(A97-(Drivers!B19+Drivers!B20))/Drivers!B39),0)</f>
        <v>1</v>
      </c>
      <c r="L97" s="14">
        <f>Drivers!B2*(B97-B96)*Drivers!B24*(1+Drivers!B22)^(A97/12)*Drivers!B25*K97</f>
        <v>1141754.488</v>
      </c>
      <c r="M97" s="14">
        <f>L97*Drivers!B26</f>
        <v>228350.8976</v>
      </c>
      <c r="N97" s="14">
        <f>(L97+M97)*Drivers!B27</f>
        <v>479536.885</v>
      </c>
      <c r="O97" s="14">
        <f>IF(A97&gt;(Drivers!B19+Drivers!B20),Drivers!B28/12*(1+Drivers!B23)^(A97/12),0)</f>
        <v>454701.1104</v>
      </c>
      <c r="P97" s="14">
        <f>(L97+M97)*Drivers!B29</f>
        <v>54804.21543</v>
      </c>
      <c r="Q97" s="14">
        <f>Drivers!B3*Drivers!B30*(1+Drivers!B22)^(A97/12)*Drivers!B31*(1-Drivers!B32 )*K97</f>
        <v>86961.58736</v>
      </c>
      <c r="R97" s="14">
        <f>IF(A97&gt;(Drivers!B19+Drivers!B20),Drivers!B33/12*(1+Drivers!B23)^(A97/12),0)</f>
        <v>68205.16655</v>
      </c>
      <c r="S97" s="14">
        <f t="shared" si="2"/>
        <v>399819.5957</v>
      </c>
      <c r="T97" s="14">
        <f t="shared" si="6"/>
        <v>19009756.48</v>
      </c>
      <c r="U97" s="14">
        <f>IF(AND(A97&gt;Drivers!B19,A97&lt;=(Drivers!B19+Drivers!B20)),Summary!B31*D97,0)</f>
        <v>0</v>
      </c>
      <c r="V97" s="14">
        <f>IF(A97&lt;=(Drivers!B19+Drivers!B20),(T97+U97/2)*Drivers!B36/12,T97*Drivers!B36/12)</f>
        <v>182176.8329</v>
      </c>
      <c r="W97" s="14">
        <f>IF(A97&gt;(Drivers!B19+Drivers!B20),MIN(T97,MAX(0,Summary!B32/12-V97)),0)</f>
        <v>76225.0215</v>
      </c>
      <c r="X97" s="14">
        <f>IF(A97=(Drivers!B19+1),Summary!B31*Drivers!B38,0)</f>
        <v>0</v>
      </c>
      <c r="Y97" s="14">
        <f t="shared" si="3"/>
        <v>18933531.46</v>
      </c>
      <c r="Z97" s="14">
        <f t="shared" si="4"/>
        <v>141417.7413</v>
      </c>
      <c r="AA97" s="14">
        <f t="shared" si="7"/>
        <v>-141432455.6</v>
      </c>
      <c r="AB97" s="14">
        <f t="shared" si="5"/>
        <v>399819.5957</v>
      </c>
      <c r="AC97" s="14">
        <f>(E97+F97+G97+H97)*Drivers!B45</f>
        <v>0</v>
      </c>
      <c r="AD97" s="14">
        <f>IF(A97&lt;=Summary!B18,AB97+IF(A97=Summary!B18,Summary!B40,0),0)</f>
        <v>399819.5957</v>
      </c>
      <c r="AE97" s="14">
        <f>IF(A97&lt;=Summary!B18,Z97+IF(A97=Summary!B18,Summary!B40-Y97,0),0)</f>
        <v>141417.7413</v>
      </c>
      <c r="AF97" s="14">
        <f>AD97-IF(A97=0,Drivers!B44,0)</f>
        <v>399819.5957</v>
      </c>
      <c r="AG97" s="14">
        <f t="shared" si="8"/>
        <v>-147617374.1</v>
      </c>
    </row>
    <row r="98">
      <c r="A98" s="2">
        <v>96.0</v>
      </c>
      <c r="B98" s="15">
        <f>EDATE(Setup!B2,A98)</f>
        <v>49201</v>
      </c>
      <c r="C98" s="2" t="str">
        <f>IF(A98=0,"T0",IF(A98&lt;=Drivers!B19,"Preconstruction",IF(A98&lt;=(Drivers!B19+Drivers!B20),"Construction","Trading")))</f>
        <v>Trading</v>
      </c>
      <c r="D98" s="12">
        <f t="array" ref="D98">IF(AND(A98&gt;Drivers!B19,A98&lt;=(Drivers!B19+Drivers!B20)),SIN(PI()*(A98-Drivers!B19-0.5)/Drivers!B20)/SUMPRODUCT(SIN(PI()*(SEQUENCE(Drivers!B20,1)-0.5)/Drivers!B20)),0)</f>
        <v>0</v>
      </c>
      <c r="E98" s="14">
        <f>(Summary!B10+Summary!B12)*D98*(1+Drivers!B21)^(A98/12)</f>
        <v>0</v>
      </c>
      <c r="F98" s="14">
        <f>IF(AND(A98&gt;0,A98&lt;=Drivers!B19),Summary!B11*Drivers!B40/Drivers!B19*(1+Drivers!B21)^(A98/12),Summary!B11*(1-Drivers!B40 )*D98*(1+Drivers!B21)^(A98/12))</f>
        <v>0</v>
      </c>
      <c r="G98" s="14">
        <f>IF(AND(A98&gt;0,A98&lt;=2),Drivers!B16/2,0)</f>
        <v>0</v>
      </c>
      <c r="H98" s="14">
        <f>IF(A98=(Drivers!B19+Drivers!B20),Drivers!B17*(1+Drivers!B21)^(A98/12),0)</f>
        <v>0</v>
      </c>
      <c r="I98" s="14">
        <f>IF(AND(A98&gt;0,A98&lt;=(Drivers!B19+Drivers!B20)),Drivers!B18*(1+Drivers!B23)^(A98/12),0)</f>
        <v>0</v>
      </c>
      <c r="J98" s="14">
        <f t="shared" si="1"/>
        <v>0</v>
      </c>
      <c r="K98" s="12">
        <f>IF(A98&gt;(Drivers!B19+Drivers!B20),MIN(1,0.5+0.5*(A98-(Drivers!B19+Drivers!B20))/Drivers!B39),0)</f>
        <v>1</v>
      </c>
      <c r="L98" s="14">
        <f>Drivers!B2*(B98-B97)*Drivers!B24*(1+Drivers!B22)^(A98/12)*Drivers!B25*K98</f>
        <v>1145492.295</v>
      </c>
      <c r="M98" s="14">
        <f>L98*Drivers!B26</f>
        <v>229098.459</v>
      </c>
      <c r="N98" s="14">
        <f>(L98+M98)*Drivers!B27</f>
        <v>481106.764</v>
      </c>
      <c r="O98" s="14">
        <f>IF(A98&gt;(Drivers!B19+Drivers!B20),Drivers!B28/12*(1+Drivers!B23)^(A98/12),0)</f>
        <v>456189.6835</v>
      </c>
      <c r="P98" s="14">
        <f>(L98+M98)*Drivers!B29</f>
        <v>54983.63017</v>
      </c>
      <c r="Q98" s="14">
        <f>Drivers!B3*Drivers!B30*(1+Drivers!B22)^(A98/12)*Drivers!B31*(1-Drivers!B32 )*K98</f>
        <v>87246.27696</v>
      </c>
      <c r="R98" s="14">
        <f>IF(A98&gt;(Drivers!B19+Drivers!B20),Drivers!B33/12*(1+Drivers!B23)^(A98/12),0)</f>
        <v>68428.45252</v>
      </c>
      <c r="S98" s="14">
        <f t="shared" si="2"/>
        <v>401128.5011</v>
      </c>
      <c r="T98" s="14">
        <f t="shared" si="6"/>
        <v>18933531.46</v>
      </c>
      <c r="U98" s="14">
        <f>IF(AND(A98&gt;Drivers!B19,A98&lt;=(Drivers!B19+Drivers!B20)),Summary!B31*D98,0)</f>
        <v>0</v>
      </c>
      <c r="V98" s="14">
        <f>IF(A98&lt;=(Drivers!B19+Drivers!B20),(T98+U98/2)*Drivers!B36/12,T98*Drivers!B36/12)</f>
        <v>181446.3431</v>
      </c>
      <c r="W98" s="14">
        <f>IF(A98&gt;(Drivers!B19+Drivers!B20),MIN(T98,MAX(0,Summary!B32/12-V98)),0)</f>
        <v>76955.51129</v>
      </c>
      <c r="X98" s="14">
        <f>IF(A98=(Drivers!B19+1),Summary!B31*Drivers!B38,0)</f>
        <v>0</v>
      </c>
      <c r="Y98" s="14">
        <f t="shared" si="3"/>
        <v>18856575.95</v>
      </c>
      <c r="Z98" s="14">
        <f t="shared" si="4"/>
        <v>142726.6466</v>
      </c>
      <c r="AA98" s="14">
        <f t="shared" si="7"/>
        <v>-141289729</v>
      </c>
      <c r="AB98" s="14">
        <f t="shared" si="5"/>
        <v>401128.5011</v>
      </c>
      <c r="AC98" s="14">
        <f>(E98+F98+G98+H98)*Drivers!B45</f>
        <v>0</v>
      </c>
      <c r="AD98" s="14">
        <f>IF(A98&lt;=Summary!B18,AB98+IF(A98=Summary!B18,Summary!B40,0),0)</f>
        <v>401128.5011</v>
      </c>
      <c r="AE98" s="14">
        <f>IF(A98&lt;=Summary!B18,Z98+IF(A98=Summary!B18,Summary!B40-Y98,0),0)</f>
        <v>142726.6466</v>
      </c>
      <c r="AF98" s="14">
        <f>AD98-IF(A98=0,Drivers!B44,0)</f>
        <v>401128.5011</v>
      </c>
      <c r="AG98" s="14">
        <f t="shared" si="8"/>
        <v>-147216245.6</v>
      </c>
    </row>
    <row r="99">
      <c r="A99" s="2">
        <v>97.0</v>
      </c>
      <c r="B99" s="15">
        <f>EDATE(Setup!B2,A99)</f>
        <v>49231</v>
      </c>
      <c r="C99" s="2" t="str">
        <f>IF(A99=0,"T0",IF(A99&lt;=Drivers!B19,"Preconstruction",IF(A99&lt;=(Drivers!B19+Drivers!B20),"Construction","Trading")))</f>
        <v>Trading</v>
      </c>
      <c r="D99" s="12">
        <f t="array" ref="D99">IF(AND(A99&gt;Drivers!B19,A99&lt;=(Drivers!B19+Drivers!B20)),SIN(PI()*(A99-Drivers!B19-0.5)/Drivers!B20)/SUMPRODUCT(SIN(PI()*(SEQUENCE(Drivers!B20,1)-0.5)/Drivers!B20)),0)</f>
        <v>0</v>
      </c>
      <c r="E99" s="14">
        <f>(Summary!B10+Summary!B12)*D99*(1+Drivers!B21)^(A99/12)</f>
        <v>0</v>
      </c>
      <c r="F99" s="14">
        <f>IF(AND(A99&gt;0,A99&lt;=Drivers!B19),Summary!B11*Drivers!B40/Drivers!B19*(1+Drivers!B21)^(A99/12),Summary!B11*(1-Drivers!B40 )*D99*(1+Drivers!B21)^(A99/12))</f>
        <v>0</v>
      </c>
      <c r="G99" s="14">
        <f>IF(AND(A99&gt;0,A99&lt;=2),Drivers!B16/2,0)</f>
        <v>0</v>
      </c>
      <c r="H99" s="14">
        <f>IF(A99=(Drivers!B19+Drivers!B20),Drivers!B17*(1+Drivers!B21)^(A99/12),0)</f>
        <v>0</v>
      </c>
      <c r="I99" s="14">
        <f>IF(AND(A99&gt;0,A99&lt;=(Drivers!B19+Drivers!B20)),Drivers!B18*(1+Drivers!B23)^(A99/12),0)</f>
        <v>0</v>
      </c>
      <c r="J99" s="14">
        <f t="shared" si="1"/>
        <v>0</v>
      </c>
      <c r="K99" s="12">
        <f>IF(A99&gt;(Drivers!B19+Drivers!B20),MIN(1,0.5+0.5*(A99-(Drivers!B19+Drivers!B20))/Drivers!B39),0)</f>
        <v>1</v>
      </c>
      <c r="L99" s="14">
        <f>Drivers!B2*(B99-B98)*Drivers!B24*(1+Drivers!B22)^(A99/12)*Drivers!B25*K99</f>
        <v>1112170.005</v>
      </c>
      <c r="M99" s="14">
        <f>L99*Drivers!B26</f>
        <v>222434.0011</v>
      </c>
      <c r="N99" s="14">
        <f>(L99+M99)*Drivers!B27</f>
        <v>467111.4023</v>
      </c>
      <c r="O99" s="14">
        <f>IF(A99&gt;(Drivers!B19+Drivers!B20),Drivers!B28/12*(1+Drivers!B23)^(A99/12),0)</f>
        <v>457683.1298</v>
      </c>
      <c r="P99" s="14">
        <f>(L99+M99)*Drivers!B29</f>
        <v>53384.16026</v>
      </c>
      <c r="Q99" s="14">
        <f>Drivers!B3*Drivers!B30*(1+Drivers!B22)^(A99/12)*Drivers!B31*(1-Drivers!B32 )*K99</f>
        <v>87531.89857</v>
      </c>
      <c r="R99" s="14">
        <f>IF(A99&gt;(Drivers!B19+Drivers!B20),Drivers!B33/12*(1+Drivers!B23)^(A99/12),0)</f>
        <v>68652.46947</v>
      </c>
      <c r="S99" s="14">
        <f t="shared" si="2"/>
        <v>375304.7433</v>
      </c>
      <c r="T99" s="14">
        <f t="shared" si="6"/>
        <v>18856575.95</v>
      </c>
      <c r="U99" s="14">
        <f>IF(AND(A99&gt;Drivers!B19,A99&lt;=(Drivers!B19+Drivers!B20)),Summary!B31*D99,0)</f>
        <v>0</v>
      </c>
      <c r="V99" s="14">
        <f>IF(A99&lt;=(Drivers!B19+Drivers!B20),(T99+U99/2)*Drivers!B36/12,T99*Drivers!B36/12)</f>
        <v>180708.8528</v>
      </c>
      <c r="W99" s="14">
        <f>IF(A99&gt;(Drivers!B19+Drivers!B20),MIN(T99,MAX(0,Summary!B32/12-V99)),0)</f>
        <v>77693.0016</v>
      </c>
      <c r="X99" s="14">
        <f>IF(A99=(Drivers!B19+1),Summary!B31*Drivers!B38,0)</f>
        <v>0</v>
      </c>
      <c r="Y99" s="14">
        <f t="shared" si="3"/>
        <v>18778882.94</v>
      </c>
      <c r="Z99" s="14">
        <f t="shared" si="4"/>
        <v>116902.8888</v>
      </c>
      <c r="AA99" s="14">
        <f t="shared" si="7"/>
        <v>-141172826.1</v>
      </c>
      <c r="AB99" s="14">
        <f t="shared" si="5"/>
        <v>375304.7433</v>
      </c>
      <c r="AC99" s="14">
        <f>(E99+F99+G99+H99)*Drivers!B45</f>
        <v>0</v>
      </c>
      <c r="AD99" s="14">
        <f>IF(A99&lt;=Summary!B18,AB99+IF(A99=Summary!B18,Summary!B40,0),0)</f>
        <v>375304.7433</v>
      </c>
      <c r="AE99" s="14">
        <f>IF(A99&lt;=Summary!B18,Z99+IF(A99=Summary!B18,Summary!B40-Y99,0),0)</f>
        <v>116902.8888</v>
      </c>
      <c r="AF99" s="14">
        <f>AD99-IF(A99=0,Drivers!B44,0)</f>
        <v>375304.7433</v>
      </c>
      <c r="AG99" s="14">
        <f t="shared" si="8"/>
        <v>-146840940.9</v>
      </c>
    </row>
    <row r="100">
      <c r="A100" s="2">
        <v>98.0</v>
      </c>
      <c r="B100" s="15">
        <f>EDATE(Setup!B2,A100)</f>
        <v>49262</v>
      </c>
      <c r="C100" s="2" t="str">
        <f>IF(A100=0,"T0",IF(A100&lt;=Drivers!B19,"Preconstruction",IF(A100&lt;=(Drivers!B19+Drivers!B20),"Construction","Trading")))</f>
        <v>Trading</v>
      </c>
      <c r="D100" s="12">
        <f t="array" ref="D100">IF(AND(A100&gt;Drivers!B19,A100&lt;=(Drivers!B19+Drivers!B20)),SIN(PI()*(A100-Drivers!B19-0.5)/Drivers!B20)/SUMPRODUCT(SIN(PI()*(SEQUENCE(Drivers!B20,1)-0.5)/Drivers!B20)),0)</f>
        <v>0</v>
      </c>
      <c r="E100" s="14">
        <f>(Summary!B10+Summary!B12)*D100*(1+Drivers!B21)^(A100/12)</f>
        <v>0</v>
      </c>
      <c r="F100" s="14">
        <f>IF(AND(A100&gt;0,A100&lt;=Drivers!B19),Summary!B11*Drivers!B40/Drivers!B19*(1+Drivers!B21)^(A100/12),Summary!B11*(1-Drivers!B40 )*D100*(1+Drivers!B21)^(A100/12))</f>
        <v>0</v>
      </c>
      <c r="G100" s="14">
        <f>IF(AND(A100&gt;0,A100&lt;=2),Drivers!B16/2,0)</f>
        <v>0</v>
      </c>
      <c r="H100" s="14">
        <f>IF(A100=(Drivers!B19+Drivers!B20),Drivers!B17*(1+Drivers!B21)^(A100/12),0)</f>
        <v>0</v>
      </c>
      <c r="I100" s="14">
        <f>IF(AND(A100&gt;0,A100&lt;=(Drivers!B19+Drivers!B20)),Drivers!B18*(1+Drivers!B23)^(A100/12),0)</f>
        <v>0</v>
      </c>
      <c r="J100" s="14">
        <f t="shared" si="1"/>
        <v>0</v>
      </c>
      <c r="K100" s="12">
        <f>IF(A100&gt;(Drivers!B19+Drivers!B20),MIN(1,0.5+0.5*(A100-(Drivers!B19+Drivers!B20))/Drivers!B39),0)</f>
        <v>1</v>
      </c>
      <c r="L100" s="14">
        <f>Drivers!B2*(B100-B99)*Drivers!B24*(1+Drivers!B22)^(A100/12)*Drivers!B25*K100</f>
        <v>1153004.659</v>
      </c>
      <c r="M100" s="14">
        <f>L100*Drivers!B26</f>
        <v>230600.9319</v>
      </c>
      <c r="N100" s="14">
        <f>(L100+M100)*Drivers!B27</f>
        <v>484261.9569</v>
      </c>
      <c r="O100" s="14">
        <f>IF(A100&gt;(Drivers!B19+Drivers!B20),Drivers!B28/12*(1+Drivers!B23)^(A100/12),0)</f>
        <v>459181.4653</v>
      </c>
      <c r="P100" s="14">
        <f>(L100+M100)*Drivers!B29</f>
        <v>55344.22364</v>
      </c>
      <c r="Q100" s="14">
        <f>Drivers!B3*Drivers!B30*(1+Drivers!B22)^(A100/12)*Drivers!B31*(1-Drivers!B32 )*K100</f>
        <v>87818.45523</v>
      </c>
      <c r="R100" s="14">
        <f>IF(A100&gt;(Drivers!B19+Drivers!B20),Drivers!B33/12*(1+Drivers!B23)^(A100/12),0)</f>
        <v>68877.21979</v>
      </c>
      <c r="S100" s="14">
        <f t="shared" si="2"/>
        <v>403759.1808</v>
      </c>
      <c r="T100" s="14">
        <f t="shared" si="6"/>
        <v>18778882.94</v>
      </c>
      <c r="U100" s="14">
        <f>IF(AND(A100&gt;Drivers!B19,A100&lt;=(Drivers!B19+Drivers!B20)),Summary!B31*D100,0)</f>
        <v>0</v>
      </c>
      <c r="V100" s="14">
        <f>IF(A100&lt;=(Drivers!B19+Drivers!B20),(T100+U100/2)*Drivers!B36/12,T100*Drivers!B36/12)</f>
        <v>179964.2949</v>
      </c>
      <c r="W100" s="14">
        <f>IF(A100&gt;(Drivers!B19+Drivers!B20),MIN(T100,MAX(0,Summary!B32/12-V100)),0)</f>
        <v>78437.55954</v>
      </c>
      <c r="X100" s="14">
        <f>IF(A100=(Drivers!B19+1),Summary!B31*Drivers!B38,0)</f>
        <v>0</v>
      </c>
      <c r="Y100" s="14">
        <f t="shared" si="3"/>
        <v>18700445.38</v>
      </c>
      <c r="Z100" s="14">
        <f t="shared" si="4"/>
        <v>145357.3263</v>
      </c>
      <c r="AA100" s="14">
        <f t="shared" si="7"/>
        <v>-141027468.8</v>
      </c>
      <c r="AB100" s="14">
        <f t="shared" si="5"/>
        <v>403759.1808</v>
      </c>
      <c r="AC100" s="14">
        <f>(E100+F100+G100+H100)*Drivers!B45</f>
        <v>0</v>
      </c>
      <c r="AD100" s="14">
        <f>IF(A100&lt;=Summary!B18,AB100+IF(A100=Summary!B18,Summary!B40,0),0)</f>
        <v>403759.1808</v>
      </c>
      <c r="AE100" s="14">
        <f>IF(A100&lt;=Summary!B18,Z100+IF(A100=Summary!B18,Summary!B40-Y100,0),0)</f>
        <v>145357.3263</v>
      </c>
      <c r="AF100" s="14">
        <f>AD100-IF(A100=0,Drivers!B44,0)</f>
        <v>403759.1808</v>
      </c>
      <c r="AG100" s="14">
        <f t="shared" si="8"/>
        <v>-146437181.7</v>
      </c>
    </row>
    <row r="101">
      <c r="A101" s="2">
        <v>99.0</v>
      </c>
      <c r="B101" s="15">
        <f>EDATE(Setup!B2,A101)</f>
        <v>49292</v>
      </c>
      <c r="C101" s="2" t="str">
        <f>IF(A101=0,"T0",IF(A101&lt;=Drivers!B19,"Preconstruction",IF(A101&lt;=(Drivers!B19+Drivers!B20),"Construction","Trading")))</f>
        <v>Trading</v>
      </c>
      <c r="D101" s="12">
        <f t="array" ref="D101">IF(AND(A101&gt;Drivers!B19,A101&lt;=(Drivers!B19+Drivers!B20)),SIN(PI()*(A101-Drivers!B19-0.5)/Drivers!B20)/SUMPRODUCT(SIN(PI()*(SEQUENCE(Drivers!B20,1)-0.5)/Drivers!B20)),0)</f>
        <v>0</v>
      </c>
      <c r="E101" s="14">
        <f>(Summary!B10+Summary!B12)*D101*(1+Drivers!B21)^(A101/12)</f>
        <v>0</v>
      </c>
      <c r="F101" s="14">
        <f>IF(AND(A101&gt;0,A101&lt;=Drivers!B19),Summary!B11*Drivers!B40/Drivers!B19*(1+Drivers!B21)^(A101/12),Summary!B11*(1-Drivers!B40 )*D101*(1+Drivers!B21)^(A101/12))</f>
        <v>0</v>
      </c>
      <c r="G101" s="14">
        <f>IF(AND(A101&gt;0,A101&lt;=2),Drivers!B16/2,0)</f>
        <v>0</v>
      </c>
      <c r="H101" s="14">
        <f>IF(A101=(Drivers!B19+Drivers!B20),Drivers!B17*(1+Drivers!B21)^(A101/12),0)</f>
        <v>0</v>
      </c>
      <c r="I101" s="14">
        <f>IF(AND(A101&gt;0,A101&lt;=(Drivers!B19+Drivers!B20)),Drivers!B18*(1+Drivers!B23)^(A101/12),0)</f>
        <v>0</v>
      </c>
      <c r="J101" s="14">
        <f t="shared" si="1"/>
        <v>0</v>
      </c>
      <c r="K101" s="12">
        <f>IF(A101&gt;(Drivers!B19+Drivers!B20),MIN(1,0.5+0.5*(A101-(Drivers!B19+Drivers!B20))/Drivers!B39),0)</f>
        <v>1</v>
      </c>
      <c r="L101" s="14">
        <f>Drivers!B2*(B101-B100)*Drivers!B24*(1+Drivers!B22)^(A101/12)*Drivers!B25*K101</f>
        <v>1119463.835</v>
      </c>
      <c r="M101" s="14">
        <f>L101*Drivers!B26</f>
        <v>223892.7671</v>
      </c>
      <c r="N101" s="14">
        <f>(L101+M101)*Drivers!B27</f>
        <v>470174.8108</v>
      </c>
      <c r="O101" s="14">
        <f>IF(A101&gt;(Drivers!B19+Drivers!B20),Drivers!B28/12*(1+Drivers!B23)^(A101/12),0)</f>
        <v>460684.7059</v>
      </c>
      <c r="P101" s="14">
        <f>(L101+M101)*Drivers!B29</f>
        <v>53734.26409</v>
      </c>
      <c r="Q101" s="14">
        <f>Drivers!B3*Drivers!B30*(1+Drivers!B22)^(A101/12)*Drivers!B31*(1-Drivers!B32 )*K101</f>
        <v>88105.95</v>
      </c>
      <c r="R101" s="14">
        <f>IF(A101&gt;(Drivers!B19+Drivers!B20),Drivers!B33/12*(1+Drivers!B23)^(A101/12),0)</f>
        <v>69102.70588</v>
      </c>
      <c r="S101" s="14">
        <f t="shared" si="2"/>
        <v>377766.0657</v>
      </c>
      <c r="T101" s="14">
        <f t="shared" si="6"/>
        <v>18700445.38</v>
      </c>
      <c r="U101" s="14">
        <f>IF(AND(A101&gt;Drivers!B19,A101&lt;=(Drivers!B19+Drivers!B20)),Summary!B31*D101,0)</f>
        <v>0</v>
      </c>
      <c r="V101" s="14">
        <f>IF(A101&lt;=(Drivers!B19+Drivers!B20),(T101+U101/2)*Drivers!B36/12,T101*Drivers!B36/12)</f>
        <v>179212.6016</v>
      </c>
      <c r="W101" s="14">
        <f>IF(A101&gt;(Drivers!B19+Drivers!B20),MIN(T101,MAX(0,Summary!B32/12-V101)),0)</f>
        <v>79189.25282</v>
      </c>
      <c r="X101" s="14">
        <f>IF(A101=(Drivers!B19+1),Summary!B31*Drivers!B38,0)</f>
        <v>0</v>
      </c>
      <c r="Y101" s="14">
        <f t="shared" si="3"/>
        <v>18621256.13</v>
      </c>
      <c r="Z101" s="14">
        <f t="shared" si="4"/>
        <v>119364.2113</v>
      </c>
      <c r="AA101" s="14">
        <f t="shared" si="7"/>
        <v>-140908104.5</v>
      </c>
      <c r="AB101" s="14">
        <f t="shared" si="5"/>
        <v>377766.0657</v>
      </c>
      <c r="AC101" s="14">
        <f>(E101+F101+G101+H101)*Drivers!B45</f>
        <v>0</v>
      </c>
      <c r="AD101" s="14">
        <f>IF(A101&lt;=Summary!B18,AB101+IF(A101=Summary!B18,Summary!B40,0),0)</f>
        <v>377766.0657</v>
      </c>
      <c r="AE101" s="14">
        <f>IF(A101&lt;=Summary!B18,Z101+IF(A101=Summary!B18,Summary!B40-Y101,0),0)</f>
        <v>119364.2113</v>
      </c>
      <c r="AF101" s="14">
        <f>AD101-IF(A101=0,Drivers!B44,0)</f>
        <v>377766.0657</v>
      </c>
      <c r="AG101" s="14">
        <f t="shared" si="8"/>
        <v>-146059415.6</v>
      </c>
    </row>
    <row r="102">
      <c r="A102" s="2">
        <v>100.0</v>
      </c>
      <c r="B102" s="15">
        <f>EDATE(Setup!B2,A102)</f>
        <v>49323</v>
      </c>
      <c r="C102" s="2" t="str">
        <f>IF(A102=0,"T0",IF(A102&lt;=Drivers!B19,"Preconstruction",IF(A102&lt;=(Drivers!B19+Drivers!B20),"Construction","Trading")))</f>
        <v>Trading</v>
      </c>
      <c r="D102" s="12">
        <f t="array" ref="D102">IF(AND(A102&gt;Drivers!B19,A102&lt;=(Drivers!B19+Drivers!B20)),SIN(PI()*(A102-Drivers!B19-0.5)/Drivers!B20)/SUMPRODUCT(SIN(PI()*(SEQUENCE(Drivers!B20,1)-0.5)/Drivers!B20)),0)</f>
        <v>0</v>
      </c>
      <c r="E102" s="14">
        <f>(Summary!B10+Summary!B12)*D102*(1+Drivers!B21)^(A102/12)</f>
        <v>0</v>
      </c>
      <c r="F102" s="14">
        <f>IF(AND(A102&gt;0,A102&lt;=Drivers!B19),Summary!B11*Drivers!B40/Drivers!B19*(1+Drivers!B21)^(A102/12),Summary!B11*(1-Drivers!B40 )*D102*(1+Drivers!B21)^(A102/12))</f>
        <v>0</v>
      </c>
      <c r="G102" s="14">
        <f>IF(AND(A102&gt;0,A102&lt;=2),Drivers!B16/2,0)</f>
        <v>0</v>
      </c>
      <c r="H102" s="14">
        <f>IF(A102=(Drivers!B19+Drivers!B20),Drivers!B17*(1+Drivers!B21)^(A102/12),0)</f>
        <v>0</v>
      </c>
      <c r="I102" s="14">
        <f>IF(AND(A102&gt;0,A102&lt;=(Drivers!B19+Drivers!B20)),Drivers!B18*(1+Drivers!B23)^(A102/12),0)</f>
        <v>0</v>
      </c>
      <c r="J102" s="14">
        <f t="shared" si="1"/>
        <v>0</v>
      </c>
      <c r="K102" s="12">
        <f>IF(A102&gt;(Drivers!B19+Drivers!B20),MIN(1,0.5+0.5*(A102-(Drivers!B19+Drivers!B20))/Drivers!B39),0)</f>
        <v>1</v>
      </c>
      <c r="L102" s="14">
        <f>Drivers!B2*(B102-B101)*Drivers!B24*(1+Drivers!B22)^(A102/12)*Drivers!B25*K102</f>
        <v>1160566.291</v>
      </c>
      <c r="M102" s="14">
        <f>L102*Drivers!B26</f>
        <v>232113.2582</v>
      </c>
      <c r="N102" s="14">
        <f>(L102+M102)*Drivers!B27</f>
        <v>487437.8422</v>
      </c>
      <c r="O102" s="14">
        <f>IF(A102&gt;(Drivers!B19+Drivers!B20),Drivers!B28/12*(1+Drivers!B23)^(A102/12),0)</f>
        <v>462192.8677</v>
      </c>
      <c r="P102" s="14">
        <f>(L102+M102)*Drivers!B29</f>
        <v>55707.18196</v>
      </c>
      <c r="Q102" s="14">
        <f>Drivers!B3*Drivers!B30*(1+Drivers!B22)^(A102/12)*Drivers!B31*(1-Drivers!B32 )*K102</f>
        <v>88394.38595</v>
      </c>
      <c r="R102" s="14">
        <f>IF(A102&gt;(Drivers!B19+Drivers!B20),Drivers!B33/12*(1+Drivers!B23)^(A102/12),0)</f>
        <v>69328.93016</v>
      </c>
      <c r="S102" s="14">
        <f t="shared" si="2"/>
        <v>406407.113</v>
      </c>
      <c r="T102" s="14">
        <f t="shared" si="6"/>
        <v>18621256.13</v>
      </c>
      <c r="U102" s="14">
        <f>IF(AND(A102&gt;Drivers!B19,A102&lt;=(Drivers!B19+Drivers!B20)),Summary!B31*D102,0)</f>
        <v>0</v>
      </c>
      <c r="V102" s="14">
        <f>IF(A102&lt;=(Drivers!B19+Drivers!B20),(T102+U102/2)*Drivers!B36/12,T102*Drivers!B36/12)</f>
        <v>178453.7046</v>
      </c>
      <c r="W102" s="14">
        <f>IF(A102&gt;(Drivers!B19+Drivers!B20),MIN(T102,MAX(0,Summary!B32/12-V102)),0)</f>
        <v>79948.14982</v>
      </c>
      <c r="X102" s="14">
        <f>IF(A102=(Drivers!B19+1),Summary!B31*Drivers!B38,0)</f>
        <v>0</v>
      </c>
      <c r="Y102" s="14">
        <f t="shared" si="3"/>
        <v>18541307.98</v>
      </c>
      <c r="Z102" s="14">
        <f t="shared" si="4"/>
        <v>148005.2586</v>
      </c>
      <c r="AA102" s="14">
        <f t="shared" si="7"/>
        <v>-140760099.3</v>
      </c>
      <c r="AB102" s="14">
        <f t="shared" si="5"/>
        <v>406407.113</v>
      </c>
      <c r="AC102" s="14">
        <f>(E102+F102+G102+H102)*Drivers!B45</f>
        <v>0</v>
      </c>
      <c r="AD102" s="14">
        <f>IF(A102&lt;=Summary!B18,AB102+IF(A102=Summary!B18,Summary!B40,0),0)</f>
        <v>406407.113</v>
      </c>
      <c r="AE102" s="14">
        <f>IF(A102&lt;=Summary!B18,Z102+IF(A102=Summary!B18,Summary!B40-Y102,0),0)</f>
        <v>148005.2586</v>
      </c>
      <c r="AF102" s="14">
        <f>AD102-IF(A102=0,Drivers!B44,0)</f>
        <v>406407.113</v>
      </c>
      <c r="AG102" s="14">
        <f t="shared" si="8"/>
        <v>-145653008.5</v>
      </c>
    </row>
    <row r="103">
      <c r="A103" s="2">
        <v>101.0</v>
      </c>
      <c r="B103" s="15">
        <f>EDATE(Setup!B2,A103)</f>
        <v>49354</v>
      </c>
      <c r="C103" s="2" t="str">
        <f>IF(A103=0,"T0",IF(A103&lt;=Drivers!B19,"Preconstruction",IF(A103&lt;=(Drivers!B19+Drivers!B20),"Construction","Trading")))</f>
        <v>Trading</v>
      </c>
      <c r="D103" s="12">
        <f t="array" ref="D103">IF(AND(A103&gt;Drivers!B19,A103&lt;=(Drivers!B19+Drivers!B20)),SIN(PI()*(A103-Drivers!B19-0.5)/Drivers!B20)/SUMPRODUCT(SIN(PI()*(SEQUENCE(Drivers!B20,1)-0.5)/Drivers!B20)),0)</f>
        <v>0</v>
      </c>
      <c r="E103" s="14">
        <f>(Summary!B10+Summary!B12)*D103*(1+Drivers!B21)^(A103/12)</f>
        <v>0</v>
      </c>
      <c r="F103" s="14">
        <f>IF(AND(A103&gt;0,A103&lt;=Drivers!B19),Summary!B11*Drivers!B40/Drivers!B19*(1+Drivers!B21)^(A103/12),Summary!B11*(1-Drivers!B40 )*D103*(1+Drivers!B21)^(A103/12))</f>
        <v>0</v>
      </c>
      <c r="G103" s="14">
        <f>IF(AND(A103&gt;0,A103&lt;=2),Drivers!B16/2,0)</f>
        <v>0</v>
      </c>
      <c r="H103" s="14">
        <f>IF(A103=(Drivers!B19+Drivers!B20),Drivers!B17*(1+Drivers!B21)^(A103/12),0)</f>
        <v>0</v>
      </c>
      <c r="I103" s="14">
        <f>IF(AND(A103&gt;0,A103&lt;=(Drivers!B19+Drivers!B20)),Drivers!B18*(1+Drivers!B23)^(A103/12),0)</f>
        <v>0</v>
      </c>
      <c r="J103" s="14">
        <f t="shared" si="1"/>
        <v>0</v>
      </c>
      <c r="K103" s="12">
        <f>IF(A103&gt;(Drivers!B19+Drivers!B20),MIN(1,0.5+0.5*(A103-(Drivers!B19+Drivers!B20))/Drivers!B39),0)</f>
        <v>1</v>
      </c>
      <c r="L103" s="14">
        <f>Drivers!B2*(B103-B102)*Drivers!B24*(1+Drivers!B22)^(A103/12)*Drivers!B25*K103</f>
        <v>1164365.683</v>
      </c>
      <c r="M103" s="14">
        <f>L103*Drivers!B26</f>
        <v>232873.1366</v>
      </c>
      <c r="N103" s="14">
        <f>(L103+M103)*Drivers!B27</f>
        <v>489033.5868</v>
      </c>
      <c r="O103" s="14">
        <f>IF(A103&gt;(Drivers!B19+Drivers!B20),Drivers!B28/12*(1+Drivers!B23)^(A103/12),0)</f>
        <v>463705.9669</v>
      </c>
      <c r="P103" s="14">
        <f>(L103+M103)*Drivers!B29</f>
        <v>55889.55278</v>
      </c>
      <c r="Q103" s="14">
        <f>Drivers!B3*Drivers!B30*(1+Drivers!B22)^(A103/12)*Drivers!B31*(1-Drivers!B32 )*K103</f>
        <v>88683.76617</v>
      </c>
      <c r="R103" s="14">
        <f>IF(A103&gt;(Drivers!B19+Drivers!B20),Drivers!B33/12*(1+Drivers!B23)^(A103/12),0)</f>
        <v>69555.89504</v>
      </c>
      <c r="S103" s="14">
        <f t="shared" si="2"/>
        <v>407737.5841</v>
      </c>
      <c r="T103" s="14">
        <f t="shared" si="6"/>
        <v>18541307.98</v>
      </c>
      <c r="U103" s="14">
        <f>IF(AND(A103&gt;Drivers!B19,A103&lt;=(Drivers!B19+Drivers!B20)),Summary!B31*D103,0)</f>
        <v>0</v>
      </c>
      <c r="V103" s="14">
        <f>IF(A103&lt;=(Drivers!B19+Drivers!B20),(T103+U103/2)*Drivers!B36/12,T103*Drivers!B36/12)</f>
        <v>177687.5348</v>
      </c>
      <c r="W103" s="14">
        <f>IF(A103&gt;(Drivers!B19+Drivers!B20),MIN(T103,MAX(0,Summary!B32/12-V103)),0)</f>
        <v>80714.31959</v>
      </c>
      <c r="X103" s="14">
        <f>IF(A103=(Drivers!B19+1),Summary!B31*Drivers!B38,0)</f>
        <v>0</v>
      </c>
      <c r="Y103" s="14">
        <f t="shared" si="3"/>
        <v>18460593.66</v>
      </c>
      <c r="Z103" s="14">
        <f t="shared" si="4"/>
        <v>149335.7297</v>
      </c>
      <c r="AA103" s="14">
        <f t="shared" si="7"/>
        <v>-140610763.6</v>
      </c>
      <c r="AB103" s="14">
        <f t="shared" si="5"/>
        <v>407737.5841</v>
      </c>
      <c r="AC103" s="14">
        <f>(E103+F103+G103+H103)*Drivers!B45</f>
        <v>0</v>
      </c>
      <c r="AD103" s="14">
        <f>IF(A103&lt;=Summary!B18,AB103+IF(A103=Summary!B18,Summary!B40,0),0)</f>
        <v>407737.5841</v>
      </c>
      <c r="AE103" s="14">
        <f>IF(A103&lt;=Summary!B18,Z103+IF(A103=Summary!B18,Summary!B40-Y103,0),0)</f>
        <v>149335.7297</v>
      </c>
      <c r="AF103" s="14">
        <f>AD103-IF(A103=0,Drivers!B44,0)</f>
        <v>407737.5841</v>
      </c>
      <c r="AG103" s="14">
        <f t="shared" si="8"/>
        <v>-145245270.9</v>
      </c>
    </row>
    <row r="104">
      <c r="A104" s="2">
        <v>102.0</v>
      </c>
      <c r="B104" s="15">
        <f>EDATE(Setup!B2,A104)</f>
        <v>49382</v>
      </c>
      <c r="C104" s="2" t="str">
        <f>IF(A104=0,"T0",IF(A104&lt;=Drivers!B19,"Preconstruction",IF(A104&lt;=(Drivers!B19+Drivers!B20),"Construction","Trading")))</f>
        <v>Trading</v>
      </c>
      <c r="D104" s="12">
        <f t="array" ref="D104">IF(AND(A104&gt;Drivers!B19,A104&lt;=(Drivers!B19+Drivers!B20)),SIN(PI()*(A104-Drivers!B19-0.5)/Drivers!B20)/SUMPRODUCT(SIN(PI()*(SEQUENCE(Drivers!B20,1)-0.5)/Drivers!B20)),0)</f>
        <v>0</v>
      </c>
      <c r="E104" s="14">
        <f>(Summary!B10+Summary!B12)*D104*(1+Drivers!B21)^(A104/12)</f>
        <v>0</v>
      </c>
      <c r="F104" s="14">
        <f>IF(AND(A104&gt;0,A104&lt;=Drivers!B19),Summary!B11*Drivers!B40/Drivers!B19*(1+Drivers!B21)^(A104/12),Summary!B11*(1-Drivers!B40 )*D104*(1+Drivers!B21)^(A104/12))</f>
        <v>0</v>
      </c>
      <c r="G104" s="14">
        <f>IF(AND(A104&gt;0,A104&lt;=2),Drivers!B16/2,0)</f>
        <v>0</v>
      </c>
      <c r="H104" s="14">
        <f>IF(A104=(Drivers!B19+Drivers!B20),Drivers!B17*(1+Drivers!B21)^(A104/12),0)</f>
        <v>0</v>
      </c>
      <c r="I104" s="14">
        <f>IF(AND(A104&gt;0,A104&lt;=(Drivers!B19+Drivers!B20)),Drivers!B18*(1+Drivers!B23)^(A104/12),0)</f>
        <v>0</v>
      </c>
      <c r="J104" s="14">
        <f t="shared" si="1"/>
        <v>0</v>
      </c>
      <c r="K104" s="12">
        <f>IF(A104&gt;(Drivers!B19+Drivers!B20),MIN(1,0.5+0.5*(A104-(Drivers!B19+Drivers!B20))/Drivers!B39),0)</f>
        <v>1</v>
      </c>
      <c r="L104" s="14">
        <f>Drivers!B2*(B104-B103)*Drivers!B24*(1+Drivers!B22)^(A104/12)*Drivers!B25*K104</f>
        <v>1055128.076</v>
      </c>
      <c r="M104" s="14">
        <f>L104*Drivers!B26</f>
        <v>211025.6153</v>
      </c>
      <c r="N104" s="14">
        <f>(L104+M104)*Drivers!B27</f>
        <v>443153.7921</v>
      </c>
      <c r="O104" s="14">
        <f>IF(A104&gt;(Drivers!B19+Drivers!B20),Drivers!B28/12*(1+Drivers!B23)^(A104/12),0)</f>
        <v>465224.0196</v>
      </c>
      <c r="P104" s="14">
        <f>(L104+M104)*Drivers!B29</f>
        <v>50646.14767</v>
      </c>
      <c r="Q104" s="14">
        <f>Drivers!B3*Drivers!B30*(1+Drivers!B22)^(A104/12)*Drivers!B31*(1-Drivers!B32 )*K104</f>
        <v>88974.09374</v>
      </c>
      <c r="R104" s="14">
        <f>IF(A104&gt;(Drivers!B19+Drivers!B20),Drivers!B33/12*(1+Drivers!B23)^(A104/12),0)</f>
        <v>69783.60294</v>
      </c>
      <c r="S104" s="14">
        <f t="shared" si="2"/>
        <v>326320.2232</v>
      </c>
      <c r="T104" s="14">
        <f t="shared" si="6"/>
        <v>18460593.66</v>
      </c>
      <c r="U104" s="14">
        <f>IF(AND(A104&gt;Drivers!B19,A104&lt;=(Drivers!B19+Drivers!B20)),Summary!B31*D104,0)</f>
        <v>0</v>
      </c>
      <c r="V104" s="14">
        <f>IF(A104&lt;=(Drivers!B19+Drivers!B20),(T104+U104/2)*Drivers!B36/12,T104*Drivers!B36/12)</f>
        <v>176914.0226</v>
      </c>
      <c r="W104" s="14">
        <f>IF(A104&gt;(Drivers!B19+Drivers!B20),MIN(T104,MAX(0,Summary!B32/12-V104)),0)</f>
        <v>81487.83182</v>
      </c>
      <c r="X104" s="14">
        <f>IF(A104=(Drivers!B19+1),Summary!B31*Drivers!B38,0)</f>
        <v>0</v>
      </c>
      <c r="Y104" s="14">
        <f t="shared" si="3"/>
        <v>18379105.83</v>
      </c>
      <c r="Z104" s="14">
        <f t="shared" si="4"/>
        <v>67918.36874</v>
      </c>
      <c r="AA104" s="14">
        <f t="shared" si="7"/>
        <v>-140542845.2</v>
      </c>
      <c r="AB104" s="14">
        <f t="shared" si="5"/>
        <v>326320.2232</v>
      </c>
      <c r="AC104" s="14">
        <f>(E104+F104+G104+H104)*Drivers!B45</f>
        <v>0</v>
      </c>
      <c r="AD104" s="14">
        <f>IF(A104&lt;=Summary!B18,AB104+IF(A104=Summary!B18,Summary!B40,0),0)</f>
        <v>326320.2232</v>
      </c>
      <c r="AE104" s="14">
        <f>IF(A104&lt;=Summary!B18,Z104+IF(A104=Summary!B18,Summary!B40-Y104,0),0)</f>
        <v>67918.36874</v>
      </c>
      <c r="AF104" s="14">
        <f>AD104-IF(A104=0,Drivers!B44,0)</f>
        <v>326320.2232</v>
      </c>
      <c r="AG104" s="14">
        <f t="shared" si="8"/>
        <v>-144918950.7</v>
      </c>
    </row>
    <row r="105">
      <c r="A105" s="2">
        <v>103.0</v>
      </c>
      <c r="B105" s="15">
        <f>EDATE(Setup!B2,A105)</f>
        <v>49413</v>
      </c>
      <c r="C105" s="2" t="str">
        <f>IF(A105=0,"T0",IF(A105&lt;=Drivers!B19,"Preconstruction",IF(A105&lt;=(Drivers!B19+Drivers!B20),"Construction","Trading")))</f>
        <v>Trading</v>
      </c>
      <c r="D105" s="12">
        <f t="array" ref="D105">IF(AND(A105&gt;Drivers!B19,A105&lt;=(Drivers!B19+Drivers!B20)),SIN(PI()*(A105-Drivers!B19-0.5)/Drivers!B20)/SUMPRODUCT(SIN(PI()*(SEQUENCE(Drivers!B20,1)-0.5)/Drivers!B20)),0)</f>
        <v>0</v>
      </c>
      <c r="E105" s="14">
        <f>(Summary!B10+Summary!B12)*D105*(1+Drivers!B21)^(A105/12)</f>
        <v>0</v>
      </c>
      <c r="F105" s="14">
        <f>IF(AND(A105&gt;0,A105&lt;=Drivers!B19),Summary!B11*Drivers!B40/Drivers!B19*(1+Drivers!B21)^(A105/12),Summary!B11*(1-Drivers!B40 )*D105*(1+Drivers!B21)^(A105/12))</f>
        <v>0</v>
      </c>
      <c r="G105" s="14">
        <f>IF(AND(A105&gt;0,A105&lt;=2),Drivers!B16/2,0)</f>
        <v>0</v>
      </c>
      <c r="H105" s="14">
        <f>IF(A105=(Drivers!B19+Drivers!B20),Drivers!B17*(1+Drivers!B21)^(A105/12),0)</f>
        <v>0</v>
      </c>
      <c r="I105" s="14">
        <f>IF(AND(A105&gt;0,A105&lt;=(Drivers!B19+Drivers!B20)),Drivers!B18*(1+Drivers!B23)^(A105/12),0)</f>
        <v>0</v>
      </c>
      <c r="J105" s="14">
        <f t="shared" si="1"/>
        <v>0</v>
      </c>
      <c r="K105" s="12">
        <f>IF(A105&gt;(Drivers!B19+Drivers!B20),MIN(1,0.5+0.5*(A105-(Drivers!B19+Drivers!B20))/Drivers!B39),0)</f>
        <v>1</v>
      </c>
      <c r="L105" s="14">
        <f>Drivers!B2*(B105-B104)*Drivers!B24*(1+Drivers!B22)^(A105/12)*Drivers!B25*K105</f>
        <v>1172001.822</v>
      </c>
      <c r="M105" s="14">
        <f>L105*Drivers!B26</f>
        <v>234400.3645</v>
      </c>
      <c r="N105" s="14">
        <f>(L105+M105)*Drivers!B27</f>
        <v>492240.7654</v>
      </c>
      <c r="O105" s="14">
        <f>IF(A105&gt;(Drivers!B19+Drivers!B20),Drivers!B28/12*(1+Drivers!B23)^(A105/12),0)</f>
        <v>466747.042</v>
      </c>
      <c r="P105" s="14">
        <f>(L105+M105)*Drivers!B29</f>
        <v>56256.08747</v>
      </c>
      <c r="Q105" s="14">
        <f>Drivers!B3*Drivers!B30*(1+Drivers!B22)^(A105/12)*Drivers!B31*(1-Drivers!B32 )*K105</f>
        <v>89265.37178</v>
      </c>
      <c r="R105" s="14">
        <f>IF(A105&gt;(Drivers!B19+Drivers!B20),Drivers!B33/12*(1+Drivers!B23)^(A105/12),0)</f>
        <v>70012.05629</v>
      </c>
      <c r="S105" s="14">
        <f t="shared" si="2"/>
        <v>410411.6075</v>
      </c>
      <c r="T105" s="14">
        <f t="shared" si="6"/>
        <v>18379105.83</v>
      </c>
      <c r="U105" s="14">
        <f>IF(AND(A105&gt;Drivers!B19,A105&lt;=(Drivers!B19+Drivers!B20)),Summary!B31*D105,0)</f>
        <v>0</v>
      </c>
      <c r="V105" s="14">
        <f>IF(A105&lt;=(Drivers!B19+Drivers!B20),(T105+U105/2)*Drivers!B36/12,T105*Drivers!B36/12)</f>
        <v>176133.0975</v>
      </c>
      <c r="W105" s="14">
        <f>IF(A105&gt;(Drivers!B19+Drivers!B20),MIN(T105,MAX(0,Summary!B32/12-V105)),0)</f>
        <v>82268.75687</v>
      </c>
      <c r="X105" s="14">
        <f>IF(A105=(Drivers!B19+1),Summary!B31*Drivers!B38,0)</f>
        <v>0</v>
      </c>
      <c r="Y105" s="14">
        <f t="shared" si="3"/>
        <v>18296837.07</v>
      </c>
      <c r="Z105" s="14">
        <f t="shared" si="4"/>
        <v>152009.7531</v>
      </c>
      <c r="AA105" s="14">
        <f t="shared" si="7"/>
        <v>-140390835.4</v>
      </c>
      <c r="AB105" s="14">
        <f t="shared" si="5"/>
        <v>410411.6075</v>
      </c>
      <c r="AC105" s="14">
        <f>(E105+F105+G105+H105)*Drivers!B45</f>
        <v>0</v>
      </c>
      <c r="AD105" s="14">
        <f>IF(A105&lt;=Summary!B18,AB105+IF(A105=Summary!B18,Summary!B40,0),0)</f>
        <v>410411.6075</v>
      </c>
      <c r="AE105" s="14">
        <f>IF(A105&lt;=Summary!B18,Z105+IF(A105=Summary!B18,Summary!B40-Y105,0),0)</f>
        <v>152009.7531</v>
      </c>
      <c r="AF105" s="14">
        <f>AD105-IF(A105=0,Drivers!B44,0)</f>
        <v>410411.6075</v>
      </c>
      <c r="AG105" s="14">
        <f t="shared" si="8"/>
        <v>-144508539.1</v>
      </c>
    </row>
    <row r="106">
      <c r="A106" s="2">
        <v>104.0</v>
      </c>
      <c r="B106" s="15">
        <f>EDATE(Setup!B2,A106)</f>
        <v>49443</v>
      </c>
      <c r="C106" s="2" t="str">
        <f>IF(A106=0,"T0",IF(A106&lt;=Drivers!B19,"Preconstruction",IF(A106&lt;=(Drivers!B19+Drivers!B20),"Construction","Trading")))</f>
        <v>Trading</v>
      </c>
      <c r="D106" s="12">
        <f t="array" ref="D106">IF(AND(A106&gt;Drivers!B19,A106&lt;=(Drivers!B19+Drivers!B20)),SIN(PI()*(A106-Drivers!B19-0.5)/Drivers!B20)/SUMPRODUCT(SIN(PI()*(SEQUENCE(Drivers!B20,1)-0.5)/Drivers!B20)),0)</f>
        <v>0</v>
      </c>
      <c r="E106" s="14">
        <f>(Summary!B10+Summary!B12)*D106*(1+Drivers!B21)^(A106/12)</f>
        <v>0</v>
      </c>
      <c r="F106" s="14">
        <f>IF(AND(A106&gt;0,A106&lt;=Drivers!B19),Summary!B11*Drivers!B40/Drivers!B19*(1+Drivers!B21)^(A106/12),Summary!B11*(1-Drivers!B40 )*D106*(1+Drivers!B21)^(A106/12))</f>
        <v>0</v>
      </c>
      <c r="G106" s="14">
        <f>IF(AND(A106&gt;0,A106&lt;=2),Drivers!B16/2,0)</f>
        <v>0</v>
      </c>
      <c r="H106" s="14">
        <f>IF(A106=(Drivers!B19+Drivers!B20),Drivers!B17*(1+Drivers!B21)^(A106/12),0)</f>
        <v>0</v>
      </c>
      <c r="I106" s="14">
        <f>IF(AND(A106&gt;0,A106&lt;=(Drivers!B19+Drivers!B20)),Drivers!B18*(1+Drivers!B23)^(A106/12),0)</f>
        <v>0</v>
      </c>
      <c r="J106" s="14">
        <f t="shared" si="1"/>
        <v>0</v>
      </c>
      <c r="K106" s="12">
        <f>IF(A106&gt;(Drivers!B19+Drivers!B20),MIN(1,0.5+0.5*(A106-(Drivers!B19+Drivers!B20))/Drivers!B39),0)</f>
        <v>1</v>
      </c>
      <c r="L106" s="14">
        <f>Drivers!B2*(B106-B105)*Drivers!B24*(1+Drivers!B22)^(A106/12)*Drivers!B25*K106</f>
        <v>1137908.372</v>
      </c>
      <c r="M106" s="14">
        <f>L106*Drivers!B26</f>
        <v>227581.6745</v>
      </c>
      <c r="N106" s="14">
        <f>(L106+M106)*Drivers!B27</f>
        <v>477921.5164</v>
      </c>
      <c r="O106" s="14">
        <f>IF(A106&gt;(Drivers!B19+Drivers!B20),Drivers!B28/12*(1+Drivers!B23)^(A106/12),0)</f>
        <v>468275.0503</v>
      </c>
      <c r="P106" s="14">
        <f>(L106+M106)*Drivers!B29</f>
        <v>54619.60187</v>
      </c>
      <c r="Q106" s="14">
        <f>Drivers!B3*Drivers!B30*(1+Drivers!B22)^(A106/12)*Drivers!B31*(1-Drivers!B32 )*K106</f>
        <v>89557.60337</v>
      </c>
      <c r="R106" s="14">
        <f>IF(A106&gt;(Drivers!B19+Drivers!B20),Drivers!B33/12*(1+Drivers!B23)^(A106/12),0)</f>
        <v>70241.25755</v>
      </c>
      <c r="S106" s="14">
        <f t="shared" si="2"/>
        <v>383990.224</v>
      </c>
      <c r="T106" s="14">
        <f t="shared" si="6"/>
        <v>18296837.07</v>
      </c>
      <c r="U106" s="14">
        <f>IF(AND(A106&gt;Drivers!B19,A106&lt;=(Drivers!B19+Drivers!B20)),Summary!B31*D106,0)</f>
        <v>0</v>
      </c>
      <c r="V106" s="14">
        <f>IF(A106&lt;=(Drivers!B19+Drivers!B20),(T106+U106/2)*Drivers!B36/12,T106*Drivers!B36/12)</f>
        <v>175344.6886</v>
      </c>
      <c r="W106" s="14">
        <f>IF(A106&gt;(Drivers!B19+Drivers!B20),MIN(T106,MAX(0,Summary!B32/12-V106)),0)</f>
        <v>83057.16579</v>
      </c>
      <c r="X106" s="14">
        <f>IF(A106=(Drivers!B19+1),Summary!B31*Drivers!B38,0)</f>
        <v>0</v>
      </c>
      <c r="Y106" s="14">
        <f t="shared" si="3"/>
        <v>18213779.91</v>
      </c>
      <c r="Z106" s="14">
        <f t="shared" si="4"/>
        <v>125588.3696</v>
      </c>
      <c r="AA106" s="14">
        <f t="shared" si="7"/>
        <v>-140265247.1</v>
      </c>
      <c r="AB106" s="14">
        <f t="shared" si="5"/>
        <v>383990.224</v>
      </c>
      <c r="AC106" s="14">
        <f>(E106+F106+G106+H106)*Drivers!B45</f>
        <v>0</v>
      </c>
      <c r="AD106" s="14">
        <f>IF(A106&lt;=Summary!B18,AB106+IF(A106=Summary!B18,Summary!B40,0),0)</f>
        <v>383990.224</v>
      </c>
      <c r="AE106" s="14">
        <f>IF(A106&lt;=Summary!B18,Z106+IF(A106=Summary!B18,Summary!B40-Y106,0),0)</f>
        <v>125588.3696</v>
      </c>
      <c r="AF106" s="14">
        <f>AD106-IF(A106=0,Drivers!B44,0)</f>
        <v>383990.224</v>
      </c>
      <c r="AG106" s="14">
        <f t="shared" si="8"/>
        <v>-144124548.9</v>
      </c>
    </row>
    <row r="107">
      <c r="A107" s="2">
        <v>105.0</v>
      </c>
      <c r="B107" s="15">
        <f>EDATE(Setup!B2,A107)</f>
        <v>49474</v>
      </c>
      <c r="C107" s="2" t="str">
        <f>IF(A107=0,"T0",IF(A107&lt;=Drivers!B19,"Preconstruction",IF(A107&lt;=(Drivers!B19+Drivers!B20),"Construction","Trading")))</f>
        <v>Trading</v>
      </c>
      <c r="D107" s="12">
        <f t="array" ref="D107">IF(AND(A107&gt;Drivers!B19,A107&lt;=(Drivers!B19+Drivers!B20)),SIN(PI()*(A107-Drivers!B19-0.5)/Drivers!B20)/SUMPRODUCT(SIN(PI()*(SEQUENCE(Drivers!B20,1)-0.5)/Drivers!B20)),0)</f>
        <v>0</v>
      </c>
      <c r="E107" s="14">
        <f>(Summary!B10+Summary!B12)*D107*(1+Drivers!B21)^(A107/12)</f>
        <v>0</v>
      </c>
      <c r="F107" s="14">
        <f>IF(AND(A107&gt;0,A107&lt;=Drivers!B19),Summary!B11*Drivers!B40/Drivers!B19*(1+Drivers!B21)^(A107/12),Summary!B11*(1-Drivers!B40 )*D107*(1+Drivers!B21)^(A107/12))</f>
        <v>0</v>
      </c>
      <c r="G107" s="14">
        <f>IF(AND(A107&gt;0,A107&lt;=2),Drivers!B16/2,0)</f>
        <v>0</v>
      </c>
      <c r="H107" s="14">
        <f>IF(A107=(Drivers!B19+Drivers!B20),Drivers!B17*(1+Drivers!B21)^(A107/12),0)</f>
        <v>0</v>
      </c>
      <c r="I107" s="14">
        <f>IF(AND(A107&gt;0,A107&lt;=(Drivers!B19+Drivers!B20)),Drivers!B18*(1+Drivers!B23)^(A107/12),0)</f>
        <v>0</v>
      </c>
      <c r="J107" s="14">
        <f t="shared" si="1"/>
        <v>0</v>
      </c>
      <c r="K107" s="12">
        <f>IF(A107&gt;(Drivers!B19+Drivers!B20),MIN(1,0.5+0.5*(A107-(Drivers!B19+Drivers!B20))/Drivers!B39),0)</f>
        <v>1</v>
      </c>
      <c r="L107" s="14">
        <f>Drivers!B2*(B107-B106)*Drivers!B24*(1+Drivers!B22)^(A107/12)*Drivers!B25*K107</f>
        <v>1179688.041</v>
      </c>
      <c r="M107" s="14">
        <f>L107*Drivers!B26</f>
        <v>235937.6082</v>
      </c>
      <c r="N107" s="14">
        <f>(L107+M107)*Drivers!B27</f>
        <v>495468.9773</v>
      </c>
      <c r="O107" s="14">
        <f>IF(A107&gt;(Drivers!B19+Drivers!B20),Drivers!B28/12*(1+Drivers!B23)^(A107/12),0)</f>
        <v>469808.061</v>
      </c>
      <c r="P107" s="14">
        <f>(L107+M107)*Drivers!B29</f>
        <v>56625.02597</v>
      </c>
      <c r="Q107" s="14">
        <f>Drivers!B3*Drivers!B30*(1+Drivers!B22)^(A107/12)*Drivers!B31*(1-Drivers!B32 )*K107</f>
        <v>89850.79166</v>
      </c>
      <c r="R107" s="14">
        <f>IF(A107&gt;(Drivers!B19+Drivers!B20),Drivers!B33/12*(1+Drivers!B23)^(A107/12),0)</f>
        <v>70471.20915</v>
      </c>
      <c r="S107" s="14">
        <f t="shared" si="2"/>
        <v>413103.1676</v>
      </c>
      <c r="T107" s="14">
        <f t="shared" si="6"/>
        <v>18213779.91</v>
      </c>
      <c r="U107" s="14">
        <f>IF(AND(A107&gt;Drivers!B19,A107&lt;=(Drivers!B19+Drivers!B20)),Summary!B31*D107,0)</f>
        <v>0</v>
      </c>
      <c r="V107" s="14">
        <f>IF(A107&lt;=(Drivers!B19+Drivers!B20),(T107+U107/2)*Drivers!B36/12,T107*Drivers!B36/12)</f>
        <v>174548.7241</v>
      </c>
      <c r="W107" s="14">
        <f>IF(A107&gt;(Drivers!B19+Drivers!B20),MIN(T107,MAX(0,Summary!B32/12-V107)),0)</f>
        <v>83853.1303</v>
      </c>
      <c r="X107" s="14">
        <f>IF(A107=(Drivers!B19+1),Summary!B31*Drivers!B38,0)</f>
        <v>0</v>
      </c>
      <c r="Y107" s="14">
        <f t="shared" si="3"/>
        <v>18129926.78</v>
      </c>
      <c r="Z107" s="14">
        <f t="shared" si="4"/>
        <v>154701.3132</v>
      </c>
      <c r="AA107" s="14">
        <f t="shared" si="7"/>
        <v>-140110545.8</v>
      </c>
      <c r="AB107" s="14">
        <f t="shared" si="5"/>
        <v>413103.1676</v>
      </c>
      <c r="AC107" s="14">
        <f>(E107+F107+G107+H107)*Drivers!B45</f>
        <v>0</v>
      </c>
      <c r="AD107" s="14">
        <f>IF(A107&lt;=Summary!B18,AB107+IF(A107=Summary!B18,Summary!B40,0),0)</f>
        <v>413103.1676</v>
      </c>
      <c r="AE107" s="14">
        <f>IF(A107&lt;=Summary!B18,Z107+IF(A107=Summary!B18,Summary!B40-Y107,0),0)</f>
        <v>154701.3132</v>
      </c>
      <c r="AF107" s="14">
        <f>AD107-IF(A107=0,Drivers!B44,0)</f>
        <v>413103.1676</v>
      </c>
      <c r="AG107" s="14">
        <f t="shared" si="8"/>
        <v>-143711445.7</v>
      </c>
    </row>
    <row r="108">
      <c r="A108" s="2">
        <v>106.0</v>
      </c>
      <c r="B108" s="15">
        <f>EDATE(Setup!B2,A108)</f>
        <v>49504</v>
      </c>
      <c r="C108" s="2" t="str">
        <f>IF(A108=0,"T0",IF(A108&lt;=Drivers!B19,"Preconstruction",IF(A108&lt;=(Drivers!B19+Drivers!B20),"Construction","Trading")))</f>
        <v>Trading</v>
      </c>
      <c r="D108" s="12">
        <f t="array" ref="D108">IF(AND(A108&gt;Drivers!B19,A108&lt;=(Drivers!B19+Drivers!B20)),SIN(PI()*(A108-Drivers!B19-0.5)/Drivers!B20)/SUMPRODUCT(SIN(PI()*(SEQUENCE(Drivers!B20,1)-0.5)/Drivers!B20)),0)</f>
        <v>0</v>
      </c>
      <c r="E108" s="14">
        <f>(Summary!B10+Summary!B12)*D108*(1+Drivers!B21)^(A108/12)</f>
        <v>0</v>
      </c>
      <c r="F108" s="14">
        <f>IF(AND(A108&gt;0,A108&lt;=Drivers!B19),Summary!B11*Drivers!B40/Drivers!B19*(1+Drivers!B21)^(A108/12),Summary!B11*(1-Drivers!B40 )*D108*(1+Drivers!B21)^(A108/12))</f>
        <v>0</v>
      </c>
      <c r="G108" s="14">
        <f>IF(AND(A108&gt;0,A108&lt;=2),Drivers!B16/2,0)</f>
        <v>0</v>
      </c>
      <c r="H108" s="14">
        <f>IF(A108=(Drivers!B19+Drivers!B20),Drivers!B17*(1+Drivers!B21)^(A108/12),0)</f>
        <v>0</v>
      </c>
      <c r="I108" s="14">
        <f>IF(AND(A108&gt;0,A108&lt;=(Drivers!B19+Drivers!B20)),Drivers!B18*(1+Drivers!B23)^(A108/12),0)</f>
        <v>0</v>
      </c>
      <c r="J108" s="14">
        <f t="shared" si="1"/>
        <v>0</v>
      </c>
      <c r="K108" s="12">
        <f>IF(A108&gt;(Drivers!B19+Drivers!B20),MIN(1,0.5+0.5*(A108-(Drivers!B19+Drivers!B20))/Drivers!B39),0)</f>
        <v>1</v>
      </c>
      <c r="L108" s="14">
        <f>Drivers!B2*(B108-B107)*Drivers!B24*(1+Drivers!B22)^(A108/12)*Drivers!B25*K108</f>
        <v>1145370.999</v>
      </c>
      <c r="M108" s="14">
        <f>L108*Drivers!B26</f>
        <v>229074.1999</v>
      </c>
      <c r="N108" s="14">
        <f>(L108+M108)*Drivers!B27</f>
        <v>481055.8198</v>
      </c>
      <c r="O108" s="14">
        <f>IF(A108&gt;(Drivers!B19+Drivers!B20),Drivers!B28/12*(1+Drivers!B23)^(A108/12),0)</f>
        <v>471346.0903</v>
      </c>
      <c r="P108" s="14">
        <f>(L108+M108)*Drivers!B29</f>
        <v>54977.80798</v>
      </c>
      <c r="Q108" s="14">
        <f>Drivers!B3*Drivers!B30*(1+Drivers!B22)^(A108/12)*Drivers!B31*(1-Drivers!B32 )*K108</f>
        <v>90144.93977</v>
      </c>
      <c r="R108" s="14">
        <f>IF(A108&gt;(Drivers!B19+Drivers!B20),Drivers!B33/12*(1+Drivers!B23)^(A108/12),0)</f>
        <v>70701.91355</v>
      </c>
      <c r="S108" s="14">
        <f t="shared" si="2"/>
        <v>386508.5075</v>
      </c>
      <c r="T108" s="14">
        <f t="shared" si="6"/>
        <v>18129926.78</v>
      </c>
      <c r="U108" s="14">
        <f>IF(AND(A108&gt;Drivers!B19,A108&lt;=(Drivers!B19+Drivers!B20)),Summary!B31*D108,0)</f>
        <v>0</v>
      </c>
      <c r="V108" s="14">
        <f>IF(A108&lt;=(Drivers!B19+Drivers!B20),(T108+U108/2)*Drivers!B36/12,T108*Drivers!B36/12)</f>
        <v>173745.1316</v>
      </c>
      <c r="W108" s="14">
        <f>IF(A108&gt;(Drivers!B19+Drivers!B20),MIN(T108,MAX(0,Summary!B32/12-V108)),0)</f>
        <v>84656.7228</v>
      </c>
      <c r="X108" s="14">
        <f>IF(A108=(Drivers!B19+1),Summary!B31*Drivers!B38,0)</f>
        <v>0</v>
      </c>
      <c r="Y108" s="14">
        <f t="shared" si="3"/>
        <v>18045270.05</v>
      </c>
      <c r="Z108" s="14">
        <f t="shared" si="4"/>
        <v>128106.6531</v>
      </c>
      <c r="AA108" s="14">
        <f t="shared" si="7"/>
        <v>-139982439.1</v>
      </c>
      <c r="AB108" s="14">
        <f t="shared" si="5"/>
        <v>386508.5075</v>
      </c>
      <c r="AC108" s="14">
        <f>(E108+F108+G108+H108)*Drivers!B45</f>
        <v>0</v>
      </c>
      <c r="AD108" s="14">
        <f>IF(A108&lt;=Summary!B18,AB108+IF(A108=Summary!B18,Summary!B40,0),0)</f>
        <v>386508.5075</v>
      </c>
      <c r="AE108" s="14">
        <f>IF(A108&lt;=Summary!B18,Z108+IF(A108=Summary!B18,Summary!B40-Y108,0),0)</f>
        <v>128106.6531</v>
      </c>
      <c r="AF108" s="14">
        <f>AD108-IF(A108=0,Drivers!B44,0)</f>
        <v>386508.5075</v>
      </c>
      <c r="AG108" s="14">
        <f t="shared" si="8"/>
        <v>-143324937.2</v>
      </c>
    </row>
    <row r="109">
      <c r="A109" s="2">
        <v>107.0</v>
      </c>
      <c r="B109" s="15">
        <f>EDATE(Setup!B2,A109)</f>
        <v>49535</v>
      </c>
      <c r="C109" s="2" t="str">
        <f>IF(A109=0,"T0",IF(A109&lt;=Drivers!B19,"Preconstruction",IF(A109&lt;=(Drivers!B19+Drivers!B20),"Construction","Trading")))</f>
        <v>Trading</v>
      </c>
      <c r="D109" s="12">
        <f t="array" ref="D109">IF(AND(A109&gt;Drivers!B19,A109&lt;=(Drivers!B19+Drivers!B20)),SIN(PI()*(A109-Drivers!B19-0.5)/Drivers!B20)/SUMPRODUCT(SIN(PI()*(SEQUENCE(Drivers!B20,1)-0.5)/Drivers!B20)),0)</f>
        <v>0</v>
      </c>
      <c r="E109" s="14">
        <f>(Summary!B10+Summary!B12)*D109*(1+Drivers!B21)^(A109/12)</f>
        <v>0</v>
      </c>
      <c r="F109" s="14">
        <f>IF(AND(A109&gt;0,A109&lt;=Drivers!B19),Summary!B11*Drivers!B40/Drivers!B19*(1+Drivers!B21)^(A109/12),Summary!B11*(1-Drivers!B40 )*D109*(1+Drivers!B21)^(A109/12))</f>
        <v>0</v>
      </c>
      <c r="G109" s="14">
        <f>IF(AND(A109&gt;0,A109&lt;=2),Drivers!B16/2,0)</f>
        <v>0</v>
      </c>
      <c r="H109" s="14">
        <f>IF(A109=(Drivers!B19+Drivers!B20),Drivers!B17*(1+Drivers!B21)^(A109/12),0)</f>
        <v>0</v>
      </c>
      <c r="I109" s="14">
        <f>IF(AND(A109&gt;0,A109&lt;=(Drivers!B19+Drivers!B20)),Drivers!B18*(1+Drivers!B23)^(A109/12),0)</f>
        <v>0</v>
      </c>
      <c r="J109" s="14">
        <f t="shared" si="1"/>
        <v>0</v>
      </c>
      <c r="K109" s="12">
        <f>IF(A109&gt;(Drivers!B19+Drivers!B20),MIN(1,0.5+0.5*(A109-(Drivers!B19+Drivers!B20))/Drivers!B39),0)</f>
        <v>1</v>
      </c>
      <c r="L109" s="14">
        <f>Drivers!B2*(B109-B108)*Drivers!B24*(1+Drivers!B22)^(A109/12)*Drivers!B25*K109</f>
        <v>1187424.668</v>
      </c>
      <c r="M109" s="14">
        <f>L109*Drivers!B26</f>
        <v>237484.9335</v>
      </c>
      <c r="N109" s="14">
        <f>(L109+M109)*Drivers!B27</f>
        <v>498718.3604</v>
      </c>
      <c r="O109" s="14">
        <f>IF(A109&gt;(Drivers!B19+Drivers!B20),Drivers!B28/12*(1+Drivers!B23)^(A109/12),0)</f>
        <v>472889.1548</v>
      </c>
      <c r="P109" s="14">
        <f>(L109+M109)*Drivers!B29</f>
        <v>56996.38405</v>
      </c>
      <c r="Q109" s="14">
        <f>Drivers!B3*Drivers!B30*(1+Drivers!B22)^(A109/12)*Drivers!B31*(1-Drivers!B32 )*K109</f>
        <v>90440.05085</v>
      </c>
      <c r="R109" s="14">
        <f>IF(A109&gt;(Drivers!B19+Drivers!B20),Drivers!B33/12*(1+Drivers!B23)^(A109/12),0)</f>
        <v>70933.37322</v>
      </c>
      <c r="S109" s="14">
        <f t="shared" si="2"/>
        <v>415812.3796</v>
      </c>
      <c r="T109" s="14">
        <f t="shared" si="6"/>
        <v>18045270.05</v>
      </c>
      <c r="U109" s="14">
        <f>IF(AND(A109&gt;Drivers!B19,A109&lt;=(Drivers!B19+Drivers!B20)),Summary!B31*D109,0)</f>
        <v>0</v>
      </c>
      <c r="V109" s="14">
        <f>IF(A109&lt;=(Drivers!B19+Drivers!B20),(T109+U109/2)*Drivers!B36/12,T109*Drivers!B36/12)</f>
        <v>172933.838</v>
      </c>
      <c r="W109" s="14">
        <f>IF(A109&gt;(Drivers!B19+Drivers!B20),MIN(T109,MAX(0,Summary!B32/12-V109)),0)</f>
        <v>85468.01639</v>
      </c>
      <c r="X109" s="14">
        <f>IF(A109=(Drivers!B19+1),Summary!B31*Drivers!B38,0)</f>
        <v>0</v>
      </c>
      <c r="Y109" s="14">
        <f t="shared" si="3"/>
        <v>17959802.04</v>
      </c>
      <c r="Z109" s="14">
        <f t="shared" si="4"/>
        <v>157410.5252</v>
      </c>
      <c r="AA109" s="14">
        <f t="shared" si="7"/>
        <v>-139825028.6</v>
      </c>
      <c r="AB109" s="14">
        <f t="shared" si="5"/>
        <v>415812.3796</v>
      </c>
      <c r="AC109" s="14">
        <f>(E109+F109+G109+H109)*Drivers!B45</f>
        <v>0</v>
      </c>
      <c r="AD109" s="14">
        <f>IF(A109&lt;=Summary!B18,AB109+IF(A109=Summary!B18,Summary!B40,0),0)</f>
        <v>415812.3796</v>
      </c>
      <c r="AE109" s="14">
        <f>IF(A109&lt;=Summary!B18,Z109+IF(A109=Summary!B18,Summary!B40-Y109,0),0)</f>
        <v>157410.5252</v>
      </c>
      <c r="AF109" s="14">
        <f>AD109-IF(A109=0,Drivers!B44,0)</f>
        <v>415812.3796</v>
      </c>
      <c r="AG109" s="14">
        <f t="shared" si="8"/>
        <v>-142909124.8</v>
      </c>
    </row>
    <row r="110">
      <c r="A110" s="2">
        <v>108.0</v>
      </c>
      <c r="B110" s="15">
        <f>EDATE(Setup!B2,A110)</f>
        <v>49566</v>
      </c>
      <c r="C110" s="2" t="str">
        <f>IF(A110=0,"T0",IF(A110&lt;=Drivers!B19,"Preconstruction",IF(A110&lt;=(Drivers!B19+Drivers!B20),"Construction","Trading")))</f>
        <v>Trading</v>
      </c>
      <c r="D110" s="12">
        <f t="array" ref="D110">IF(AND(A110&gt;Drivers!B19,A110&lt;=(Drivers!B19+Drivers!B20)),SIN(PI()*(A110-Drivers!B19-0.5)/Drivers!B20)/SUMPRODUCT(SIN(PI()*(SEQUENCE(Drivers!B20,1)-0.5)/Drivers!B20)),0)</f>
        <v>0</v>
      </c>
      <c r="E110" s="14">
        <f>(Summary!B10+Summary!B12)*D110*(1+Drivers!B21)^(A110/12)</f>
        <v>0</v>
      </c>
      <c r="F110" s="14">
        <f>IF(AND(A110&gt;0,A110&lt;=Drivers!B19),Summary!B11*Drivers!B40/Drivers!B19*(1+Drivers!B21)^(A110/12),Summary!B11*(1-Drivers!B40 )*D110*(1+Drivers!B21)^(A110/12))</f>
        <v>0</v>
      </c>
      <c r="G110" s="14">
        <f>IF(AND(A110&gt;0,A110&lt;=2),Drivers!B16/2,0)</f>
        <v>0</v>
      </c>
      <c r="H110" s="14">
        <f>IF(A110=(Drivers!B19+Drivers!B20),Drivers!B17*(1+Drivers!B21)^(A110/12),0)</f>
        <v>0</v>
      </c>
      <c r="I110" s="14">
        <f>IF(AND(A110&gt;0,A110&lt;=(Drivers!B19+Drivers!B20)),Drivers!B18*(1+Drivers!B23)^(A110/12),0)</f>
        <v>0</v>
      </c>
      <c r="J110" s="14">
        <f t="shared" si="1"/>
        <v>0</v>
      </c>
      <c r="K110" s="12">
        <f>IF(A110&gt;(Drivers!B19+Drivers!B20),MIN(1,0.5+0.5*(A110-(Drivers!B19+Drivers!B20))/Drivers!B39),0)</f>
        <v>1</v>
      </c>
      <c r="L110" s="14">
        <f>Drivers!B2*(B110-B109)*Drivers!B24*(1+Drivers!B22)^(A110/12)*Drivers!B25*K110</f>
        <v>1191311.987</v>
      </c>
      <c r="M110" s="14">
        <f>L110*Drivers!B26</f>
        <v>238262.3974</v>
      </c>
      <c r="N110" s="14">
        <f>(L110+M110)*Drivers!B27</f>
        <v>500351.0345</v>
      </c>
      <c r="O110" s="14">
        <f>IF(A110&gt;(Drivers!B19+Drivers!B20),Drivers!B28/12*(1+Drivers!B23)^(A110/12),0)</f>
        <v>474437.2708</v>
      </c>
      <c r="P110" s="14">
        <f>(L110+M110)*Drivers!B29</f>
        <v>57182.97538</v>
      </c>
      <c r="Q110" s="14">
        <f>Drivers!B3*Drivers!B30*(1+Drivers!B22)^(A110/12)*Drivers!B31*(1-Drivers!B32 )*K110</f>
        <v>90736.12804</v>
      </c>
      <c r="R110" s="14">
        <f>IF(A110&gt;(Drivers!B19+Drivers!B20),Drivers!B33/12*(1+Drivers!B23)^(A110/12),0)</f>
        <v>71165.59062</v>
      </c>
      <c r="S110" s="14">
        <f t="shared" si="2"/>
        <v>417173.6411</v>
      </c>
      <c r="T110" s="14">
        <f t="shared" si="6"/>
        <v>17959802.04</v>
      </c>
      <c r="U110" s="14">
        <f>IF(AND(A110&gt;Drivers!B19,A110&lt;=(Drivers!B19+Drivers!B20)),Summary!B31*D110,0)</f>
        <v>0</v>
      </c>
      <c r="V110" s="14">
        <f>IF(A110&lt;=(Drivers!B19+Drivers!B20),(T110+U110/2)*Drivers!B36/12,T110*Drivers!B36/12)</f>
        <v>172114.7695</v>
      </c>
      <c r="W110" s="14">
        <f>IF(A110&gt;(Drivers!B19+Drivers!B20),MIN(T110,MAX(0,Summary!B32/12-V110)),0)</f>
        <v>86287.08488</v>
      </c>
      <c r="X110" s="14">
        <f>IF(A110=(Drivers!B19+1),Summary!B31*Drivers!B38,0)</f>
        <v>0</v>
      </c>
      <c r="Y110" s="14">
        <f t="shared" si="3"/>
        <v>17873514.95</v>
      </c>
      <c r="Z110" s="14">
        <f t="shared" si="4"/>
        <v>158771.7867</v>
      </c>
      <c r="AA110" s="14">
        <f t="shared" si="7"/>
        <v>-139666256.8</v>
      </c>
      <c r="AB110" s="14">
        <f t="shared" si="5"/>
        <v>417173.6411</v>
      </c>
      <c r="AC110" s="14">
        <f>(E110+F110+G110+H110)*Drivers!B45</f>
        <v>0</v>
      </c>
      <c r="AD110" s="14">
        <f>IF(A110&lt;=Summary!B18,AB110+IF(A110=Summary!B18,Summary!B40,0),0)</f>
        <v>417173.6411</v>
      </c>
      <c r="AE110" s="14">
        <f>IF(A110&lt;=Summary!B18,Z110+IF(A110=Summary!B18,Summary!B40-Y110,0),0)</f>
        <v>158771.7867</v>
      </c>
      <c r="AF110" s="14">
        <f>AD110-IF(A110=0,Drivers!B44,0)</f>
        <v>417173.6411</v>
      </c>
      <c r="AG110" s="14">
        <f t="shared" si="8"/>
        <v>-142491951.2</v>
      </c>
    </row>
    <row r="111">
      <c r="A111" s="2">
        <v>109.0</v>
      </c>
      <c r="B111" s="15">
        <f>EDATE(Setup!B2,A111)</f>
        <v>49596</v>
      </c>
      <c r="C111" s="2" t="str">
        <f>IF(A111=0,"T0",IF(A111&lt;=Drivers!B19,"Preconstruction",IF(A111&lt;=(Drivers!B19+Drivers!B20),"Construction","Trading")))</f>
        <v>Trading</v>
      </c>
      <c r="D111" s="12">
        <f t="array" ref="D111">IF(AND(A111&gt;Drivers!B19,A111&lt;=(Drivers!B19+Drivers!B20)),SIN(PI()*(A111-Drivers!B19-0.5)/Drivers!B20)/SUMPRODUCT(SIN(PI()*(SEQUENCE(Drivers!B20,1)-0.5)/Drivers!B20)),0)</f>
        <v>0</v>
      </c>
      <c r="E111" s="14">
        <f>(Summary!B10+Summary!B12)*D111*(1+Drivers!B21)^(A111/12)</f>
        <v>0</v>
      </c>
      <c r="F111" s="14">
        <f>IF(AND(A111&gt;0,A111&lt;=Drivers!B19),Summary!B11*Drivers!B40/Drivers!B19*(1+Drivers!B21)^(A111/12),Summary!B11*(1-Drivers!B40 )*D111*(1+Drivers!B21)^(A111/12))</f>
        <v>0</v>
      </c>
      <c r="G111" s="14">
        <f>IF(AND(A111&gt;0,A111&lt;=2),Drivers!B16/2,0)</f>
        <v>0</v>
      </c>
      <c r="H111" s="14">
        <f>IF(A111=(Drivers!B19+Drivers!B20),Drivers!B17*(1+Drivers!B21)^(A111/12),0)</f>
        <v>0</v>
      </c>
      <c r="I111" s="14">
        <f>IF(AND(A111&gt;0,A111&lt;=(Drivers!B19+Drivers!B20)),Drivers!B18*(1+Drivers!B23)^(A111/12),0)</f>
        <v>0</v>
      </c>
      <c r="J111" s="14">
        <f t="shared" si="1"/>
        <v>0</v>
      </c>
      <c r="K111" s="12">
        <f>IF(A111&gt;(Drivers!B19+Drivers!B20),MIN(1,0.5+0.5*(A111-(Drivers!B19+Drivers!B20))/Drivers!B39),0)</f>
        <v>1</v>
      </c>
      <c r="L111" s="14">
        <f>Drivers!B2*(B111-B110)*Drivers!B24*(1+Drivers!B22)^(A111/12)*Drivers!B25*K111</f>
        <v>1156656.806</v>
      </c>
      <c r="M111" s="14">
        <f>L111*Drivers!B26</f>
        <v>231331.3611</v>
      </c>
      <c r="N111" s="14">
        <f>(L111+M111)*Drivers!B27</f>
        <v>485795.8583</v>
      </c>
      <c r="O111" s="14">
        <f>IF(A111&gt;(Drivers!B19+Drivers!B20),Drivers!B28/12*(1+Drivers!B23)^(A111/12),0)</f>
        <v>475990.455</v>
      </c>
      <c r="P111" s="14">
        <f>(L111+M111)*Drivers!B29</f>
        <v>55519.52667</v>
      </c>
      <c r="Q111" s="14">
        <f>Drivers!B3*Drivers!B30*(1+Drivers!B22)^(A111/12)*Drivers!B31*(1-Drivers!B32 )*K111</f>
        <v>91033.17451</v>
      </c>
      <c r="R111" s="14">
        <f>IF(A111&gt;(Drivers!B19+Drivers!B20),Drivers!B33/12*(1+Drivers!B23)^(A111/12),0)</f>
        <v>71398.56825</v>
      </c>
      <c r="S111" s="14">
        <f t="shared" si="2"/>
        <v>390316.933</v>
      </c>
      <c r="T111" s="14">
        <f t="shared" si="6"/>
        <v>17873514.95</v>
      </c>
      <c r="U111" s="14">
        <f>IF(AND(A111&gt;Drivers!B19,A111&lt;=(Drivers!B19+Drivers!B20)),Summary!B31*D111,0)</f>
        <v>0</v>
      </c>
      <c r="V111" s="14">
        <f>IF(A111&lt;=(Drivers!B19+Drivers!B20),(T111+U111/2)*Drivers!B36/12,T111*Drivers!B36/12)</f>
        <v>171287.8516</v>
      </c>
      <c r="W111" s="14">
        <f>IF(A111&gt;(Drivers!B19+Drivers!B20),MIN(T111,MAX(0,Summary!B32/12-V111)),0)</f>
        <v>87114.00278</v>
      </c>
      <c r="X111" s="14">
        <f>IF(A111=(Drivers!B19+1),Summary!B31*Drivers!B38,0)</f>
        <v>0</v>
      </c>
      <c r="Y111" s="14">
        <f t="shared" si="3"/>
        <v>17786400.95</v>
      </c>
      <c r="Z111" s="14">
        <f t="shared" si="4"/>
        <v>131915.0786</v>
      </c>
      <c r="AA111" s="14">
        <f t="shared" si="7"/>
        <v>-139534341.7</v>
      </c>
      <c r="AB111" s="14">
        <f t="shared" si="5"/>
        <v>390316.933</v>
      </c>
      <c r="AC111" s="14">
        <f>(E111+F111+G111+H111)*Drivers!B45</f>
        <v>0</v>
      </c>
      <c r="AD111" s="14">
        <f>IF(A111&lt;=Summary!B18,AB111+IF(A111=Summary!B18,Summary!B40,0),0)</f>
        <v>390316.933</v>
      </c>
      <c r="AE111" s="14">
        <f>IF(A111&lt;=Summary!B18,Z111+IF(A111=Summary!B18,Summary!B40-Y111,0),0)</f>
        <v>131915.0786</v>
      </c>
      <c r="AF111" s="14">
        <f>AD111-IF(A111=0,Drivers!B44,0)</f>
        <v>390316.933</v>
      </c>
      <c r="AG111" s="14">
        <f t="shared" si="8"/>
        <v>-142101634.2</v>
      </c>
    </row>
    <row r="112">
      <c r="A112" s="2">
        <v>110.0</v>
      </c>
      <c r="B112" s="15">
        <f>EDATE(Setup!B2,A112)</f>
        <v>49627</v>
      </c>
      <c r="C112" s="2" t="str">
        <f>IF(A112=0,"T0",IF(A112&lt;=Drivers!B19,"Preconstruction",IF(A112&lt;=(Drivers!B19+Drivers!B20),"Construction","Trading")))</f>
        <v>Trading</v>
      </c>
      <c r="D112" s="12">
        <f t="array" ref="D112">IF(AND(A112&gt;Drivers!B19,A112&lt;=(Drivers!B19+Drivers!B20)),SIN(PI()*(A112-Drivers!B19-0.5)/Drivers!B20)/SUMPRODUCT(SIN(PI()*(SEQUENCE(Drivers!B20,1)-0.5)/Drivers!B20)),0)</f>
        <v>0</v>
      </c>
      <c r="E112" s="14">
        <f>(Summary!B10+Summary!B12)*D112*(1+Drivers!B21)^(A112/12)</f>
        <v>0</v>
      </c>
      <c r="F112" s="14">
        <f>IF(AND(A112&gt;0,A112&lt;=Drivers!B19),Summary!B11*Drivers!B40/Drivers!B19*(1+Drivers!B21)^(A112/12),Summary!B11*(1-Drivers!B40 )*D112*(1+Drivers!B21)^(A112/12))</f>
        <v>0</v>
      </c>
      <c r="G112" s="14">
        <f>IF(AND(A112&gt;0,A112&lt;=2),Drivers!B16/2,0)</f>
        <v>0</v>
      </c>
      <c r="H112" s="14">
        <f>IF(A112=(Drivers!B19+Drivers!B20),Drivers!B17*(1+Drivers!B21)^(A112/12),0)</f>
        <v>0</v>
      </c>
      <c r="I112" s="14">
        <f>IF(AND(A112&gt;0,A112&lt;=(Drivers!B19+Drivers!B20)),Drivers!B18*(1+Drivers!B23)^(A112/12),0)</f>
        <v>0</v>
      </c>
      <c r="J112" s="14">
        <f t="shared" si="1"/>
        <v>0</v>
      </c>
      <c r="K112" s="12">
        <f>IF(A112&gt;(Drivers!B19+Drivers!B20),MIN(1,0.5+0.5*(A112-(Drivers!B19+Drivers!B20))/Drivers!B39),0)</f>
        <v>1</v>
      </c>
      <c r="L112" s="14">
        <f>Drivers!B2*(B112-B111)*Drivers!B24*(1+Drivers!B22)^(A112/12)*Drivers!B25*K112</f>
        <v>1199124.846</v>
      </c>
      <c r="M112" s="14">
        <f>L112*Drivers!B26</f>
        <v>239824.9691</v>
      </c>
      <c r="N112" s="14">
        <f>(L112+M112)*Drivers!B27</f>
        <v>503632.4352</v>
      </c>
      <c r="O112" s="14">
        <f>IF(A112&gt;(Drivers!B19+Drivers!B20),Drivers!B28/12*(1+Drivers!B23)^(A112/12),0)</f>
        <v>477548.7239</v>
      </c>
      <c r="P112" s="14">
        <f>(L112+M112)*Drivers!B29</f>
        <v>57557.99259</v>
      </c>
      <c r="Q112" s="14">
        <f>Drivers!B3*Drivers!B30*(1+Drivers!B22)^(A112/12)*Drivers!B31*(1-Drivers!B32 )*K112</f>
        <v>91331.19344</v>
      </c>
      <c r="R112" s="14">
        <f>IF(A112&gt;(Drivers!B19+Drivers!B20),Drivers!B33/12*(1+Drivers!B23)^(A112/12),0)</f>
        <v>71632.30858</v>
      </c>
      <c r="S112" s="14">
        <f t="shared" si="2"/>
        <v>419909.548</v>
      </c>
      <c r="T112" s="14">
        <f t="shared" si="6"/>
        <v>17786400.95</v>
      </c>
      <c r="U112" s="14">
        <f>IF(AND(A112&gt;Drivers!B19,A112&lt;=(Drivers!B19+Drivers!B20)),Summary!B31*D112,0)</f>
        <v>0</v>
      </c>
      <c r="V112" s="14">
        <f>IF(A112&lt;=(Drivers!B19+Drivers!B20),(T112+U112/2)*Drivers!B36/12,T112*Drivers!B36/12)</f>
        <v>170453.0091</v>
      </c>
      <c r="W112" s="14">
        <f>IF(A112&gt;(Drivers!B19+Drivers!B20),MIN(T112,MAX(0,Summary!B32/12-V112)),0)</f>
        <v>87948.84531</v>
      </c>
      <c r="X112" s="14">
        <f>IF(A112=(Drivers!B19+1),Summary!B31*Drivers!B38,0)</f>
        <v>0</v>
      </c>
      <c r="Y112" s="14">
        <f t="shared" si="3"/>
        <v>17698452.11</v>
      </c>
      <c r="Z112" s="14">
        <f t="shared" si="4"/>
        <v>161507.6936</v>
      </c>
      <c r="AA112" s="14">
        <f t="shared" si="7"/>
        <v>-139372834</v>
      </c>
      <c r="AB112" s="14">
        <f t="shared" si="5"/>
        <v>419909.548</v>
      </c>
      <c r="AC112" s="14">
        <f>(E112+F112+G112+H112)*Drivers!B45</f>
        <v>0</v>
      </c>
      <c r="AD112" s="14">
        <f>IF(A112&lt;=Summary!B18,AB112+IF(A112=Summary!B18,Summary!B40,0),0)</f>
        <v>419909.548</v>
      </c>
      <c r="AE112" s="14">
        <f>IF(A112&lt;=Summary!B18,Z112+IF(A112=Summary!B18,Summary!B40-Y112,0),0)</f>
        <v>161507.6936</v>
      </c>
      <c r="AF112" s="14">
        <f>AD112-IF(A112=0,Drivers!B44,0)</f>
        <v>419909.548</v>
      </c>
      <c r="AG112" s="14">
        <f t="shared" si="8"/>
        <v>-141681724.7</v>
      </c>
    </row>
    <row r="113">
      <c r="A113" s="2">
        <v>111.0</v>
      </c>
      <c r="B113" s="15">
        <f>EDATE(Setup!B2,A113)</f>
        <v>49657</v>
      </c>
      <c r="C113" s="2" t="str">
        <f>IF(A113=0,"T0",IF(A113&lt;=Drivers!B19,"Preconstruction",IF(A113&lt;=(Drivers!B19+Drivers!B20),"Construction","Trading")))</f>
        <v>Trading</v>
      </c>
      <c r="D113" s="12">
        <f t="array" ref="D113">IF(AND(A113&gt;Drivers!B19,A113&lt;=(Drivers!B19+Drivers!B20)),SIN(PI()*(A113-Drivers!B19-0.5)/Drivers!B20)/SUMPRODUCT(SIN(PI()*(SEQUENCE(Drivers!B20,1)-0.5)/Drivers!B20)),0)</f>
        <v>0</v>
      </c>
      <c r="E113" s="14">
        <f>(Summary!B10+Summary!B12)*D113*(1+Drivers!B21)^(A113/12)</f>
        <v>0</v>
      </c>
      <c r="F113" s="14">
        <f>IF(AND(A113&gt;0,A113&lt;=Drivers!B19),Summary!B11*Drivers!B40/Drivers!B19*(1+Drivers!B21)^(A113/12),Summary!B11*(1-Drivers!B40 )*D113*(1+Drivers!B21)^(A113/12))</f>
        <v>0</v>
      </c>
      <c r="G113" s="14">
        <f>IF(AND(A113&gt;0,A113&lt;=2),Drivers!B16/2,0)</f>
        <v>0</v>
      </c>
      <c r="H113" s="14">
        <f>IF(A113=(Drivers!B19+Drivers!B20),Drivers!B17*(1+Drivers!B21)^(A113/12),0)</f>
        <v>0</v>
      </c>
      <c r="I113" s="14">
        <f>IF(AND(A113&gt;0,A113&lt;=(Drivers!B19+Drivers!B20)),Drivers!B18*(1+Drivers!B23)^(A113/12),0)</f>
        <v>0</v>
      </c>
      <c r="J113" s="14">
        <f t="shared" si="1"/>
        <v>0</v>
      </c>
      <c r="K113" s="12">
        <f>IF(A113&gt;(Drivers!B19+Drivers!B20),MIN(1,0.5+0.5*(A113-(Drivers!B19+Drivers!B20))/Drivers!B39),0)</f>
        <v>1</v>
      </c>
      <c r="L113" s="14">
        <f>Drivers!B2*(B113-B112)*Drivers!B24*(1+Drivers!B22)^(A113/12)*Drivers!B25*K113</f>
        <v>1164242.389</v>
      </c>
      <c r="M113" s="14">
        <f>L113*Drivers!B26</f>
        <v>232848.4777</v>
      </c>
      <c r="N113" s="14">
        <f>(L113+M113)*Drivers!B27</f>
        <v>488981.8033</v>
      </c>
      <c r="O113" s="14">
        <f>IF(A113&gt;(Drivers!B19+Drivers!B20),Drivers!B28/12*(1+Drivers!B23)^(A113/12),0)</f>
        <v>479112.0941</v>
      </c>
      <c r="P113" s="14">
        <f>(L113+M113)*Drivers!B29</f>
        <v>55883.63466</v>
      </c>
      <c r="Q113" s="14">
        <f>Drivers!B3*Drivers!B30*(1+Drivers!B22)^(A113/12)*Drivers!B31*(1-Drivers!B32 )*K113</f>
        <v>91630.188</v>
      </c>
      <c r="R113" s="14">
        <f>IF(A113&gt;(Drivers!B19+Drivers!B20),Drivers!B33/12*(1+Drivers!B23)^(A113/12),0)</f>
        <v>71866.81412</v>
      </c>
      <c r="S113" s="14">
        <f t="shared" si="2"/>
        <v>392876.7083</v>
      </c>
      <c r="T113" s="14">
        <f t="shared" si="6"/>
        <v>17698452.11</v>
      </c>
      <c r="U113" s="14">
        <f>IF(AND(A113&gt;Drivers!B19,A113&lt;=(Drivers!B19+Drivers!B20)),Summary!B31*D113,0)</f>
        <v>0</v>
      </c>
      <c r="V113" s="14">
        <f>IF(A113&lt;=(Drivers!B19+Drivers!B20),(T113+U113/2)*Drivers!B36/12,T113*Drivers!B36/12)</f>
        <v>169610.166</v>
      </c>
      <c r="W113" s="14">
        <f>IF(A113&gt;(Drivers!B19+Drivers!B20),MIN(T113,MAX(0,Summary!B32/12-V113)),0)</f>
        <v>88791.68841</v>
      </c>
      <c r="X113" s="14">
        <f>IF(A113=(Drivers!B19+1),Summary!B31*Drivers!B38,0)</f>
        <v>0</v>
      </c>
      <c r="Y113" s="14">
        <f t="shared" si="3"/>
        <v>17609660.42</v>
      </c>
      <c r="Z113" s="14">
        <f t="shared" si="4"/>
        <v>134474.8539</v>
      </c>
      <c r="AA113" s="14">
        <f t="shared" si="7"/>
        <v>-139238359.2</v>
      </c>
      <c r="AB113" s="14">
        <f t="shared" si="5"/>
        <v>392876.7083</v>
      </c>
      <c r="AC113" s="14">
        <f>(E113+F113+G113+H113)*Drivers!B45</f>
        <v>0</v>
      </c>
      <c r="AD113" s="14">
        <f>IF(A113&lt;=Summary!B18,AB113+IF(A113=Summary!B18,Summary!B40,0),0)</f>
        <v>392876.7083</v>
      </c>
      <c r="AE113" s="14">
        <f>IF(A113&lt;=Summary!B18,Z113+IF(A113=Summary!B18,Summary!B40-Y113,0),0)</f>
        <v>134474.8539</v>
      </c>
      <c r="AF113" s="14">
        <f>AD113-IF(A113=0,Drivers!B44,0)</f>
        <v>392876.7083</v>
      </c>
      <c r="AG113" s="14">
        <f t="shared" si="8"/>
        <v>-141288848</v>
      </c>
    </row>
    <row r="114">
      <c r="A114" s="2">
        <v>112.0</v>
      </c>
      <c r="B114" s="15">
        <f>EDATE(Setup!B2,A114)</f>
        <v>49688</v>
      </c>
      <c r="C114" s="2" t="str">
        <f>IF(A114=0,"T0",IF(A114&lt;=Drivers!B19,"Preconstruction",IF(A114&lt;=(Drivers!B19+Drivers!B20),"Construction","Trading")))</f>
        <v>Trading</v>
      </c>
      <c r="D114" s="12">
        <f t="array" ref="D114">IF(AND(A114&gt;Drivers!B19,A114&lt;=(Drivers!B19+Drivers!B20)),SIN(PI()*(A114-Drivers!B19-0.5)/Drivers!B20)/SUMPRODUCT(SIN(PI()*(SEQUENCE(Drivers!B20,1)-0.5)/Drivers!B20)),0)</f>
        <v>0</v>
      </c>
      <c r="E114" s="14">
        <f>(Summary!B10+Summary!B12)*D114*(1+Drivers!B21)^(A114/12)</f>
        <v>0</v>
      </c>
      <c r="F114" s="14">
        <f>IF(AND(A114&gt;0,A114&lt;=Drivers!B19),Summary!B11*Drivers!B40/Drivers!B19*(1+Drivers!B21)^(A114/12),Summary!B11*(1-Drivers!B40 )*D114*(1+Drivers!B21)^(A114/12))</f>
        <v>0</v>
      </c>
      <c r="G114" s="14">
        <f>IF(AND(A114&gt;0,A114&lt;=2),Drivers!B16/2,0)</f>
        <v>0</v>
      </c>
      <c r="H114" s="14">
        <f>IF(A114=(Drivers!B19+Drivers!B20),Drivers!B17*(1+Drivers!B21)^(A114/12),0)</f>
        <v>0</v>
      </c>
      <c r="I114" s="14">
        <f>IF(AND(A114&gt;0,A114&lt;=(Drivers!B19+Drivers!B20)),Drivers!B18*(1+Drivers!B23)^(A114/12),0)</f>
        <v>0</v>
      </c>
      <c r="J114" s="14">
        <f t="shared" si="1"/>
        <v>0</v>
      </c>
      <c r="K114" s="12">
        <f>IF(A114&gt;(Drivers!B19+Drivers!B20),MIN(1,0.5+0.5*(A114-(Drivers!B19+Drivers!B20))/Drivers!B39),0)</f>
        <v>1</v>
      </c>
      <c r="L114" s="14">
        <f>Drivers!B2*(B114-B113)*Drivers!B24*(1+Drivers!B22)^(A114/12)*Drivers!B25*K114</f>
        <v>1206988.943</v>
      </c>
      <c r="M114" s="14">
        <f>L114*Drivers!B26</f>
        <v>241397.7885</v>
      </c>
      <c r="N114" s="14">
        <f>(L114+M114)*Drivers!B27</f>
        <v>506935.3559</v>
      </c>
      <c r="O114" s="14">
        <f>IF(A114&gt;(Drivers!B19+Drivers!B20),Drivers!B28/12*(1+Drivers!B23)^(A114/12),0)</f>
        <v>480680.5824</v>
      </c>
      <c r="P114" s="14">
        <f>(L114+M114)*Drivers!B29</f>
        <v>57935.46924</v>
      </c>
      <c r="Q114" s="14">
        <f>Drivers!B3*Drivers!B30*(1+Drivers!B22)^(A114/12)*Drivers!B31*(1-Drivers!B32 )*K114</f>
        <v>91930.16139</v>
      </c>
      <c r="R114" s="14">
        <f>IF(A114&gt;(Drivers!B19+Drivers!B20),Drivers!B33/12*(1+Drivers!B23)^(A114/12),0)</f>
        <v>72102.08737</v>
      </c>
      <c r="S114" s="14">
        <f t="shared" si="2"/>
        <v>422663.3975</v>
      </c>
      <c r="T114" s="14">
        <f t="shared" si="6"/>
        <v>17609660.42</v>
      </c>
      <c r="U114" s="14">
        <f>IF(AND(A114&gt;Drivers!B19,A114&lt;=(Drivers!B19+Drivers!B20)),Summary!B31*D114,0)</f>
        <v>0</v>
      </c>
      <c r="V114" s="14">
        <f>IF(A114&lt;=(Drivers!B19+Drivers!B20),(T114+U114/2)*Drivers!B36/12,T114*Drivers!B36/12)</f>
        <v>168759.2457</v>
      </c>
      <c r="W114" s="14">
        <f>IF(A114&gt;(Drivers!B19+Drivers!B20),MIN(T114,MAX(0,Summary!B32/12-V114)),0)</f>
        <v>89642.60875</v>
      </c>
      <c r="X114" s="14">
        <f>IF(A114=(Drivers!B19+1),Summary!B31*Drivers!B38,0)</f>
        <v>0</v>
      </c>
      <c r="Y114" s="14">
        <f t="shared" si="3"/>
        <v>17520017.81</v>
      </c>
      <c r="Z114" s="14">
        <f t="shared" si="4"/>
        <v>164261.5431</v>
      </c>
      <c r="AA114" s="14">
        <f t="shared" si="7"/>
        <v>-139074097.6</v>
      </c>
      <c r="AB114" s="14">
        <f t="shared" si="5"/>
        <v>422663.3975</v>
      </c>
      <c r="AC114" s="14">
        <f>(E114+F114+G114+H114)*Drivers!B45</f>
        <v>0</v>
      </c>
      <c r="AD114" s="14">
        <f>IF(A114&lt;=Summary!B18,AB114+IF(A114=Summary!B18,Summary!B40,0),0)</f>
        <v>422663.3975</v>
      </c>
      <c r="AE114" s="14">
        <f>IF(A114&lt;=Summary!B18,Z114+IF(A114=Summary!B18,Summary!B40-Y114,0),0)</f>
        <v>164261.5431</v>
      </c>
      <c r="AF114" s="14">
        <f>AD114-IF(A114=0,Drivers!B44,0)</f>
        <v>422663.3975</v>
      </c>
      <c r="AG114" s="14">
        <f t="shared" si="8"/>
        <v>-140866184.6</v>
      </c>
    </row>
    <row r="115">
      <c r="A115" s="2">
        <v>113.0</v>
      </c>
      <c r="B115" s="15">
        <f>EDATE(Setup!B2,A115)</f>
        <v>49719</v>
      </c>
      <c r="C115" s="2" t="str">
        <f>IF(A115=0,"T0",IF(A115&lt;=Drivers!B19,"Preconstruction",IF(A115&lt;=(Drivers!B19+Drivers!B20),"Construction","Trading")))</f>
        <v>Trading</v>
      </c>
      <c r="D115" s="12">
        <f t="array" ref="D115">IF(AND(A115&gt;Drivers!B19,A115&lt;=(Drivers!B19+Drivers!B20)),SIN(PI()*(A115-Drivers!B19-0.5)/Drivers!B20)/SUMPRODUCT(SIN(PI()*(SEQUENCE(Drivers!B20,1)-0.5)/Drivers!B20)),0)</f>
        <v>0</v>
      </c>
      <c r="E115" s="14">
        <f>(Summary!B10+Summary!B12)*D115*(1+Drivers!B21)^(A115/12)</f>
        <v>0</v>
      </c>
      <c r="F115" s="14">
        <f>IF(AND(A115&gt;0,A115&lt;=Drivers!B19),Summary!B11*Drivers!B40/Drivers!B19*(1+Drivers!B21)^(A115/12),Summary!B11*(1-Drivers!B40 )*D115*(1+Drivers!B21)^(A115/12))</f>
        <v>0</v>
      </c>
      <c r="G115" s="14">
        <f>IF(AND(A115&gt;0,A115&lt;=2),Drivers!B16/2,0)</f>
        <v>0</v>
      </c>
      <c r="H115" s="14">
        <f>IF(A115=(Drivers!B19+Drivers!B20),Drivers!B17*(1+Drivers!B21)^(A115/12),0)</f>
        <v>0</v>
      </c>
      <c r="I115" s="14">
        <f>IF(AND(A115&gt;0,A115&lt;=(Drivers!B19+Drivers!B20)),Drivers!B18*(1+Drivers!B23)^(A115/12),0)</f>
        <v>0</v>
      </c>
      <c r="J115" s="14">
        <f t="shared" si="1"/>
        <v>0</v>
      </c>
      <c r="K115" s="12">
        <f>IF(A115&gt;(Drivers!B19+Drivers!B20),MIN(1,0.5+0.5*(A115-(Drivers!B19+Drivers!B20))/Drivers!B39),0)</f>
        <v>1</v>
      </c>
      <c r="L115" s="14">
        <f>Drivers!B2*(B115-B114)*Drivers!B24*(1+Drivers!B22)^(A115/12)*Drivers!B25*K115</f>
        <v>1210940.31</v>
      </c>
      <c r="M115" s="14">
        <f>L115*Drivers!B26</f>
        <v>242188.062</v>
      </c>
      <c r="N115" s="14">
        <f>(L115+M115)*Drivers!B27</f>
        <v>508594.9303</v>
      </c>
      <c r="O115" s="14">
        <f>IF(A115&gt;(Drivers!B19+Drivers!B20),Drivers!B28/12*(1+Drivers!B23)^(A115/12),0)</f>
        <v>482254.2056</v>
      </c>
      <c r="P115" s="14">
        <f>(L115+M115)*Drivers!B29</f>
        <v>58125.13489</v>
      </c>
      <c r="Q115" s="14">
        <f>Drivers!B3*Drivers!B30*(1+Drivers!B22)^(A115/12)*Drivers!B31*(1-Drivers!B32 )*K115</f>
        <v>92231.11682</v>
      </c>
      <c r="R115" s="14">
        <f>IF(A115&gt;(Drivers!B19+Drivers!B20),Drivers!B33/12*(1+Drivers!B23)^(A115/12),0)</f>
        <v>72338.13084</v>
      </c>
      <c r="S115" s="14">
        <f t="shared" si="2"/>
        <v>424047.0875</v>
      </c>
      <c r="T115" s="14">
        <f t="shared" si="6"/>
        <v>17520017.81</v>
      </c>
      <c r="U115" s="14">
        <f>IF(AND(A115&gt;Drivers!B19,A115&lt;=(Drivers!B19+Drivers!B20)),Summary!B31*D115,0)</f>
        <v>0</v>
      </c>
      <c r="V115" s="14">
        <f>IF(A115&lt;=(Drivers!B19+Drivers!B20),(T115+U115/2)*Drivers!B36/12,T115*Drivers!B36/12)</f>
        <v>167900.1707</v>
      </c>
      <c r="W115" s="14">
        <f>IF(A115&gt;(Drivers!B19+Drivers!B20),MIN(T115,MAX(0,Summary!B32/12-V115)),0)</f>
        <v>90501.68375</v>
      </c>
      <c r="X115" s="14">
        <f>IF(A115=(Drivers!B19+1),Summary!B31*Drivers!B38,0)</f>
        <v>0</v>
      </c>
      <c r="Y115" s="14">
        <f t="shared" si="3"/>
        <v>17429516.12</v>
      </c>
      <c r="Z115" s="14">
        <f t="shared" si="4"/>
        <v>165645.2331</v>
      </c>
      <c r="AA115" s="14">
        <f t="shared" si="7"/>
        <v>-138908452.4</v>
      </c>
      <c r="AB115" s="14">
        <f t="shared" si="5"/>
        <v>424047.0875</v>
      </c>
      <c r="AC115" s="14">
        <f>(E115+F115+G115+H115)*Drivers!B45</f>
        <v>0</v>
      </c>
      <c r="AD115" s="14">
        <f>IF(A115&lt;=Summary!B18,AB115+IF(A115=Summary!B18,Summary!B40,0),0)</f>
        <v>424047.0875</v>
      </c>
      <c r="AE115" s="14">
        <f>IF(A115&lt;=Summary!B18,Z115+IF(A115=Summary!B18,Summary!B40-Y115,0),0)</f>
        <v>165645.2331</v>
      </c>
      <c r="AF115" s="14">
        <f>AD115-IF(A115=0,Drivers!B44,0)</f>
        <v>424047.0875</v>
      </c>
      <c r="AG115" s="14">
        <f t="shared" si="8"/>
        <v>-140442137.5</v>
      </c>
    </row>
    <row r="116">
      <c r="A116" s="2">
        <v>114.0</v>
      </c>
      <c r="B116" s="15">
        <f>EDATE(Setup!B2,A116)</f>
        <v>49748</v>
      </c>
      <c r="C116" s="2" t="str">
        <f>IF(A116=0,"T0",IF(A116&lt;=Drivers!B19,"Preconstruction",IF(A116&lt;=(Drivers!B19+Drivers!B20),"Construction","Trading")))</f>
        <v>Trading</v>
      </c>
      <c r="D116" s="12">
        <f t="array" ref="D116">IF(AND(A116&gt;Drivers!B19,A116&lt;=(Drivers!B19+Drivers!B20)),SIN(PI()*(A116-Drivers!B19-0.5)/Drivers!B20)/SUMPRODUCT(SIN(PI()*(SEQUENCE(Drivers!B20,1)-0.5)/Drivers!B20)),0)</f>
        <v>0</v>
      </c>
      <c r="E116" s="14">
        <f>(Summary!B10+Summary!B12)*D116*(1+Drivers!B21)^(A116/12)</f>
        <v>0</v>
      </c>
      <c r="F116" s="14">
        <f>IF(AND(A116&gt;0,A116&lt;=Drivers!B19),Summary!B11*Drivers!B40/Drivers!B19*(1+Drivers!B21)^(A116/12),Summary!B11*(1-Drivers!B40 )*D116*(1+Drivers!B21)^(A116/12))</f>
        <v>0</v>
      </c>
      <c r="G116" s="14">
        <f>IF(AND(A116&gt;0,A116&lt;=2),Drivers!B16/2,0)</f>
        <v>0</v>
      </c>
      <c r="H116" s="14">
        <f>IF(A116=(Drivers!B19+Drivers!B20),Drivers!B17*(1+Drivers!B21)^(A116/12),0)</f>
        <v>0</v>
      </c>
      <c r="I116" s="14">
        <f>IF(AND(A116&gt;0,A116&lt;=(Drivers!B19+Drivers!B20)),Drivers!B18*(1+Drivers!B23)^(A116/12),0)</f>
        <v>0</v>
      </c>
      <c r="J116" s="14">
        <f t="shared" si="1"/>
        <v>0</v>
      </c>
      <c r="K116" s="12">
        <f>IF(A116&gt;(Drivers!B19+Drivers!B20),MIN(1,0.5+0.5*(A116-(Drivers!B19+Drivers!B20))/Drivers!B39),0)</f>
        <v>1</v>
      </c>
      <c r="L116" s="14">
        <f>Drivers!B2*(B116-B115)*Drivers!B24*(1+Drivers!B22)^(A116/12)*Drivers!B25*K116</f>
        <v>1136523.671</v>
      </c>
      <c r="M116" s="14">
        <f>L116*Drivers!B26</f>
        <v>227304.7342</v>
      </c>
      <c r="N116" s="14">
        <f>(L116+M116)*Drivers!B27</f>
        <v>477339.9418</v>
      </c>
      <c r="O116" s="14">
        <f>IF(A116&gt;(Drivers!B19+Drivers!B20),Drivers!B28/12*(1+Drivers!B23)^(A116/12),0)</f>
        <v>483832.9804</v>
      </c>
      <c r="P116" s="14">
        <f>(L116+M116)*Drivers!B29</f>
        <v>54553.1362</v>
      </c>
      <c r="Q116" s="14">
        <f>Drivers!B3*Drivers!B30*(1+Drivers!B22)^(A116/12)*Drivers!B31*(1-Drivers!B32 )*K116</f>
        <v>92533.05749</v>
      </c>
      <c r="R116" s="14">
        <f>IF(A116&gt;(Drivers!B19+Drivers!B20),Drivers!B33/12*(1+Drivers!B23)^(A116/12),0)</f>
        <v>72574.94705</v>
      </c>
      <c r="S116" s="14">
        <f t="shared" si="2"/>
        <v>368060.4572</v>
      </c>
      <c r="T116" s="14">
        <f t="shared" si="6"/>
        <v>17429516.12</v>
      </c>
      <c r="U116" s="14">
        <f>IF(AND(A116&gt;Drivers!B19,A116&lt;=(Drivers!B19+Drivers!B20)),Summary!B31*D116,0)</f>
        <v>0</v>
      </c>
      <c r="V116" s="14">
        <f>IF(A116&lt;=(Drivers!B19+Drivers!B20),(T116+U116/2)*Drivers!B36/12,T116*Drivers!B36/12)</f>
        <v>167032.8629</v>
      </c>
      <c r="W116" s="14">
        <f>IF(A116&gt;(Drivers!B19+Drivers!B20),MIN(T116,MAX(0,Summary!B32/12-V116)),0)</f>
        <v>91368.99156</v>
      </c>
      <c r="X116" s="14">
        <f>IF(A116=(Drivers!B19+1),Summary!B31*Drivers!B38,0)</f>
        <v>0</v>
      </c>
      <c r="Y116" s="14">
        <f t="shared" si="3"/>
        <v>17338147.13</v>
      </c>
      <c r="Z116" s="14">
        <f t="shared" si="4"/>
        <v>109658.6027</v>
      </c>
      <c r="AA116" s="14">
        <f t="shared" si="7"/>
        <v>-138798793.8</v>
      </c>
      <c r="AB116" s="14">
        <f t="shared" si="5"/>
        <v>368060.4572</v>
      </c>
      <c r="AC116" s="14">
        <f>(E116+F116+G116+H116)*Drivers!B45</f>
        <v>0</v>
      </c>
      <c r="AD116" s="14">
        <f>IF(A116&lt;=Summary!B18,AB116+IF(A116=Summary!B18,Summary!B40,0),0)</f>
        <v>368060.4572</v>
      </c>
      <c r="AE116" s="14">
        <f>IF(A116&lt;=Summary!B18,Z116+IF(A116=Summary!B18,Summary!B40-Y116,0),0)</f>
        <v>109658.6027</v>
      </c>
      <c r="AF116" s="14">
        <f>AD116-IF(A116=0,Drivers!B44,0)</f>
        <v>368060.4572</v>
      </c>
      <c r="AG116" s="14">
        <f t="shared" si="8"/>
        <v>-140074077.1</v>
      </c>
    </row>
    <row r="117">
      <c r="A117" s="2">
        <v>115.0</v>
      </c>
      <c r="B117" s="15">
        <f>EDATE(Setup!B2,A117)</f>
        <v>49779</v>
      </c>
      <c r="C117" s="2" t="str">
        <f>IF(A117=0,"T0",IF(A117&lt;=Drivers!B19,"Preconstruction",IF(A117&lt;=(Drivers!B19+Drivers!B20),"Construction","Trading")))</f>
        <v>Trading</v>
      </c>
      <c r="D117" s="12">
        <f t="array" ref="D117">IF(AND(A117&gt;Drivers!B19,A117&lt;=(Drivers!B19+Drivers!B20)),SIN(PI()*(A117-Drivers!B19-0.5)/Drivers!B20)/SUMPRODUCT(SIN(PI()*(SEQUENCE(Drivers!B20,1)-0.5)/Drivers!B20)),0)</f>
        <v>0</v>
      </c>
      <c r="E117" s="14">
        <f>(Summary!B10+Summary!B12)*D117*(1+Drivers!B21)^(A117/12)</f>
        <v>0</v>
      </c>
      <c r="F117" s="14">
        <f>IF(AND(A117&gt;0,A117&lt;=Drivers!B19),Summary!B11*Drivers!B40/Drivers!B19*(1+Drivers!B21)^(A117/12),Summary!B11*(1-Drivers!B40 )*D117*(1+Drivers!B21)^(A117/12))</f>
        <v>0</v>
      </c>
      <c r="G117" s="14">
        <f>IF(AND(A117&gt;0,A117&lt;=2),Drivers!B16/2,0)</f>
        <v>0</v>
      </c>
      <c r="H117" s="14">
        <f>IF(A117=(Drivers!B19+Drivers!B20),Drivers!B17*(1+Drivers!B21)^(A117/12),0)</f>
        <v>0</v>
      </c>
      <c r="I117" s="14">
        <f>IF(AND(A117&gt;0,A117&lt;=(Drivers!B19+Drivers!B20)),Drivers!B18*(1+Drivers!B23)^(A117/12),0)</f>
        <v>0</v>
      </c>
      <c r="J117" s="14">
        <f t="shared" si="1"/>
        <v>0</v>
      </c>
      <c r="K117" s="12">
        <f>IF(A117&gt;(Drivers!B19+Drivers!B20),MIN(1,0.5+0.5*(A117-(Drivers!B19+Drivers!B20))/Drivers!B39),0)</f>
        <v>1</v>
      </c>
      <c r="L117" s="14">
        <f>Drivers!B2*(B117-B116)*Drivers!B24*(1+Drivers!B22)^(A117/12)*Drivers!B25*K117</f>
        <v>1218881.895</v>
      </c>
      <c r="M117" s="14">
        <f>L117*Drivers!B26</f>
        <v>243776.3791</v>
      </c>
      <c r="N117" s="14">
        <f>(L117+M117)*Drivers!B27</f>
        <v>511930.396</v>
      </c>
      <c r="O117" s="14">
        <f>IF(A117&gt;(Drivers!B19+Drivers!B20),Drivers!B28/12*(1+Drivers!B23)^(A117/12),0)</f>
        <v>485416.9236</v>
      </c>
      <c r="P117" s="14">
        <f>(L117+M117)*Drivers!B29</f>
        <v>58506.33097</v>
      </c>
      <c r="Q117" s="14">
        <f>Drivers!B3*Drivers!B30*(1+Drivers!B22)^(A117/12)*Drivers!B31*(1-Drivers!B32 )*K117</f>
        <v>92835.98665</v>
      </c>
      <c r="R117" s="14">
        <f>IF(A117&gt;(Drivers!B19+Drivers!B20),Drivers!B33/12*(1+Drivers!B23)^(A117/12),0)</f>
        <v>72812.53855</v>
      </c>
      <c r="S117" s="14">
        <f t="shared" si="2"/>
        <v>426828.0718</v>
      </c>
      <c r="T117" s="14">
        <f t="shared" si="6"/>
        <v>17338147.13</v>
      </c>
      <c r="U117" s="14">
        <f>IF(AND(A117&gt;Drivers!B19,A117&lt;=(Drivers!B19+Drivers!B20)),Summary!B31*D117,0)</f>
        <v>0</v>
      </c>
      <c r="V117" s="14">
        <f>IF(A117&lt;=(Drivers!B19+Drivers!B20),(T117+U117/2)*Drivers!B36/12,T117*Drivers!B36/12)</f>
        <v>166157.2434</v>
      </c>
      <c r="W117" s="14">
        <f>IF(A117&gt;(Drivers!B19+Drivers!B20),MIN(T117,MAX(0,Summary!B32/12-V117)),0)</f>
        <v>92244.61106</v>
      </c>
      <c r="X117" s="14">
        <f>IF(A117=(Drivers!B19+1),Summary!B31*Drivers!B38,0)</f>
        <v>0</v>
      </c>
      <c r="Y117" s="14">
        <f t="shared" si="3"/>
        <v>17245902.52</v>
      </c>
      <c r="Z117" s="14">
        <f t="shared" si="4"/>
        <v>168426.2174</v>
      </c>
      <c r="AA117" s="14">
        <f t="shared" si="7"/>
        <v>-138630367.6</v>
      </c>
      <c r="AB117" s="14">
        <f t="shared" si="5"/>
        <v>426828.0718</v>
      </c>
      <c r="AC117" s="14">
        <f>(E117+F117+G117+H117)*Drivers!B45</f>
        <v>0</v>
      </c>
      <c r="AD117" s="14">
        <f>IF(A117&lt;=Summary!B18,AB117+IF(A117=Summary!B18,Summary!B40,0),0)</f>
        <v>426828.0718</v>
      </c>
      <c r="AE117" s="14">
        <f>IF(A117&lt;=Summary!B18,Z117+IF(A117=Summary!B18,Summary!B40-Y117,0),0)</f>
        <v>168426.2174</v>
      </c>
      <c r="AF117" s="14">
        <f>AD117-IF(A117=0,Drivers!B44,0)</f>
        <v>426828.0718</v>
      </c>
      <c r="AG117" s="14">
        <f t="shared" si="8"/>
        <v>-139647249</v>
      </c>
    </row>
    <row r="118">
      <c r="A118" s="2">
        <v>116.0</v>
      </c>
      <c r="B118" s="15">
        <f>EDATE(Setup!B2,A118)</f>
        <v>49809</v>
      </c>
      <c r="C118" s="2" t="str">
        <f>IF(A118=0,"T0",IF(A118&lt;=Drivers!B19,"Preconstruction",IF(A118&lt;=(Drivers!B19+Drivers!B20),"Construction","Trading")))</f>
        <v>Trading</v>
      </c>
      <c r="D118" s="12">
        <f t="array" ref="D118">IF(AND(A118&gt;Drivers!B19,A118&lt;=(Drivers!B19+Drivers!B20)),SIN(PI()*(A118-Drivers!B19-0.5)/Drivers!B20)/SUMPRODUCT(SIN(PI()*(SEQUENCE(Drivers!B20,1)-0.5)/Drivers!B20)),0)</f>
        <v>0</v>
      </c>
      <c r="E118" s="14">
        <f>(Summary!B10+Summary!B12)*D118*(1+Drivers!B21)^(A118/12)</f>
        <v>0</v>
      </c>
      <c r="F118" s="14">
        <f>IF(AND(A118&gt;0,A118&lt;=Drivers!B19),Summary!B11*Drivers!B40/Drivers!B19*(1+Drivers!B21)^(A118/12),Summary!B11*(1-Drivers!B40 )*D118*(1+Drivers!B21)^(A118/12))</f>
        <v>0</v>
      </c>
      <c r="G118" s="14">
        <f>IF(AND(A118&gt;0,A118&lt;=2),Drivers!B16/2,0)</f>
        <v>0</v>
      </c>
      <c r="H118" s="14">
        <f>IF(A118=(Drivers!B19+Drivers!B20),Drivers!B17*(1+Drivers!B21)^(A118/12),0)</f>
        <v>0</v>
      </c>
      <c r="I118" s="14">
        <f>IF(AND(A118&gt;0,A118&lt;=(Drivers!B19+Drivers!B20)),Drivers!B18*(1+Drivers!B23)^(A118/12),0)</f>
        <v>0</v>
      </c>
      <c r="J118" s="14">
        <f t="shared" si="1"/>
        <v>0</v>
      </c>
      <c r="K118" s="12">
        <f>IF(A118&gt;(Drivers!B19+Drivers!B20),MIN(1,0.5+0.5*(A118-(Drivers!B19+Drivers!B20))/Drivers!B39),0)</f>
        <v>1</v>
      </c>
      <c r="L118" s="14">
        <f>Drivers!B2*(B118-B117)*Drivers!B24*(1+Drivers!B22)^(A118/12)*Drivers!B25*K118</f>
        <v>1183424.707</v>
      </c>
      <c r="M118" s="14">
        <f>L118*Drivers!B26</f>
        <v>236684.9414</v>
      </c>
      <c r="N118" s="14">
        <f>(L118+M118)*Drivers!B27</f>
        <v>497038.377</v>
      </c>
      <c r="O118" s="14">
        <f>IF(A118&gt;(Drivers!B19+Drivers!B20),Drivers!B28/12*(1+Drivers!B23)^(A118/12),0)</f>
        <v>487006.0523</v>
      </c>
      <c r="P118" s="14">
        <f>(L118+M118)*Drivers!B29</f>
        <v>56804.38594</v>
      </c>
      <c r="Q118" s="14">
        <f>Drivers!B3*Drivers!B30*(1+Drivers!B22)^(A118/12)*Drivers!B31*(1-Drivers!B32 )*K118</f>
        <v>93139.90751</v>
      </c>
      <c r="R118" s="14">
        <f>IF(A118&gt;(Drivers!B19+Drivers!B20),Drivers!B33/12*(1+Drivers!B23)^(A118/12),0)</f>
        <v>73050.90785</v>
      </c>
      <c r="S118" s="14">
        <f t="shared" si="2"/>
        <v>399349.833</v>
      </c>
      <c r="T118" s="14">
        <f t="shared" si="6"/>
        <v>17245902.52</v>
      </c>
      <c r="U118" s="14">
        <f>IF(AND(A118&gt;Drivers!B19,A118&lt;=(Drivers!B19+Drivers!B20)),Summary!B31*D118,0)</f>
        <v>0</v>
      </c>
      <c r="V118" s="14">
        <f>IF(A118&lt;=(Drivers!B19+Drivers!B20),(T118+U118/2)*Drivers!B36/12,T118*Drivers!B36/12)</f>
        <v>165273.2325</v>
      </c>
      <c r="W118" s="14">
        <f>IF(A118&gt;(Drivers!B19+Drivers!B20),MIN(T118,MAX(0,Summary!B32/12-V118)),0)</f>
        <v>93128.62192</v>
      </c>
      <c r="X118" s="14">
        <f>IF(A118=(Drivers!B19+1),Summary!B31*Drivers!B38,0)</f>
        <v>0</v>
      </c>
      <c r="Y118" s="14">
        <f t="shared" si="3"/>
        <v>17152773.9</v>
      </c>
      <c r="Z118" s="14">
        <f t="shared" si="4"/>
        <v>140947.9786</v>
      </c>
      <c r="AA118" s="14">
        <f t="shared" si="7"/>
        <v>-138489419.6</v>
      </c>
      <c r="AB118" s="14">
        <f t="shared" si="5"/>
        <v>399349.833</v>
      </c>
      <c r="AC118" s="14">
        <f>(E118+F118+G118+H118)*Drivers!B45</f>
        <v>0</v>
      </c>
      <c r="AD118" s="14">
        <f>IF(A118&lt;=Summary!B18,AB118+IF(A118=Summary!B18,Summary!B40,0),0)</f>
        <v>399349.833</v>
      </c>
      <c r="AE118" s="14">
        <f>IF(A118&lt;=Summary!B18,Z118+IF(A118=Summary!B18,Summary!B40-Y118,0),0)</f>
        <v>140947.9786</v>
      </c>
      <c r="AF118" s="14">
        <f>AD118-IF(A118=0,Drivers!B44,0)</f>
        <v>399349.833</v>
      </c>
      <c r="AG118" s="14">
        <f t="shared" si="8"/>
        <v>-139247899.1</v>
      </c>
    </row>
    <row r="119">
      <c r="A119" s="2">
        <v>117.0</v>
      </c>
      <c r="B119" s="15">
        <f>EDATE(Setup!B2,A119)</f>
        <v>49840</v>
      </c>
      <c r="C119" s="2" t="str">
        <f>IF(A119=0,"T0",IF(A119&lt;=Drivers!B19,"Preconstruction",IF(A119&lt;=(Drivers!B19+Drivers!B20),"Construction","Trading")))</f>
        <v>Trading</v>
      </c>
      <c r="D119" s="12">
        <f t="array" ref="D119">IF(AND(A119&gt;Drivers!B19,A119&lt;=(Drivers!B19+Drivers!B20)),SIN(PI()*(A119-Drivers!B19-0.5)/Drivers!B20)/SUMPRODUCT(SIN(PI()*(SEQUENCE(Drivers!B20,1)-0.5)/Drivers!B20)),0)</f>
        <v>0</v>
      </c>
      <c r="E119" s="14">
        <f>(Summary!B10+Summary!B12)*D119*(1+Drivers!B21)^(A119/12)</f>
        <v>0</v>
      </c>
      <c r="F119" s="14">
        <f>IF(AND(A119&gt;0,A119&lt;=Drivers!B19),Summary!B11*Drivers!B40/Drivers!B19*(1+Drivers!B21)^(A119/12),Summary!B11*(1-Drivers!B40 )*D119*(1+Drivers!B21)^(A119/12))</f>
        <v>0</v>
      </c>
      <c r="G119" s="14">
        <f>IF(AND(A119&gt;0,A119&lt;=2),Drivers!B16/2,0)</f>
        <v>0</v>
      </c>
      <c r="H119" s="14">
        <f>IF(A119=(Drivers!B19+Drivers!B20),Drivers!B17*(1+Drivers!B21)^(A119/12),0)</f>
        <v>0</v>
      </c>
      <c r="I119" s="14">
        <f>IF(AND(A119&gt;0,A119&lt;=(Drivers!B19+Drivers!B20)),Drivers!B18*(1+Drivers!B23)^(A119/12),0)</f>
        <v>0</v>
      </c>
      <c r="J119" s="14">
        <f t="shared" si="1"/>
        <v>0</v>
      </c>
      <c r="K119" s="12">
        <f>IF(A119&gt;(Drivers!B19+Drivers!B20),MIN(1,0.5+0.5*(A119-(Drivers!B19+Drivers!B20))/Drivers!B39),0)</f>
        <v>1</v>
      </c>
      <c r="L119" s="14">
        <f>Drivers!B2*(B119-B118)*Drivers!B24*(1+Drivers!B22)^(A119/12)*Drivers!B25*K119</f>
        <v>1226875.563</v>
      </c>
      <c r="M119" s="14">
        <f>L119*Drivers!B26</f>
        <v>245375.1126</v>
      </c>
      <c r="N119" s="14">
        <f>(L119+M119)*Drivers!B27</f>
        <v>515287.7364</v>
      </c>
      <c r="O119" s="14">
        <f>IF(A119&gt;(Drivers!B19+Drivers!B20),Drivers!B28/12*(1+Drivers!B23)^(A119/12),0)</f>
        <v>488600.3834</v>
      </c>
      <c r="P119" s="14">
        <f>(L119+M119)*Drivers!B29</f>
        <v>58890.02701</v>
      </c>
      <c r="Q119" s="14">
        <f>Drivers!B3*Drivers!B30*(1+Drivers!B22)^(A119/12)*Drivers!B31*(1-Drivers!B32 )*K119</f>
        <v>93444.82333</v>
      </c>
      <c r="R119" s="14">
        <f>IF(A119&gt;(Drivers!B19+Drivers!B20),Drivers!B33/12*(1+Drivers!B23)^(A119/12),0)</f>
        <v>73290.05751</v>
      </c>
      <c r="S119" s="14">
        <f t="shared" si="2"/>
        <v>429627.2943</v>
      </c>
      <c r="T119" s="14">
        <f t="shared" si="6"/>
        <v>17152773.9</v>
      </c>
      <c r="U119" s="14">
        <f>IF(AND(A119&gt;Drivers!B19,A119&lt;=(Drivers!B19+Drivers!B20)),Summary!B31*D119,0)</f>
        <v>0</v>
      </c>
      <c r="V119" s="14">
        <f>IF(A119&lt;=(Drivers!B19+Drivers!B20),(T119+U119/2)*Drivers!B36/12,T119*Drivers!B36/12)</f>
        <v>164380.7499</v>
      </c>
      <c r="W119" s="14">
        <f>IF(A119&gt;(Drivers!B19+Drivers!B20),MIN(T119,MAX(0,Summary!B32/12-V119)),0)</f>
        <v>94021.10454</v>
      </c>
      <c r="X119" s="14">
        <f>IF(A119=(Drivers!B19+1),Summary!B31*Drivers!B38,0)</f>
        <v>0</v>
      </c>
      <c r="Y119" s="14">
        <f t="shared" si="3"/>
        <v>17058752.8</v>
      </c>
      <c r="Z119" s="14">
        <f t="shared" si="4"/>
        <v>171225.4399</v>
      </c>
      <c r="AA119" s="14">
        <f t="shared" si="7"/>
        <v>-138318194.1</v>
      </c>
      <c r="AB119" s="14">
        <f t="shared" si="5"/>
        <v>429627.2943</v>
      </c>
      <c r="AC119" s="14">
        <f>(E119+F119+G119+H119)*Drivers!B45</f>
        <v>0</v>
      </c>
      <c r="AD119" s="14">
        <f>IF(A119&lt;=Summary!B18,AB119+IF(A119=Summary!B18,Summary!B40,0),0)</f>
        <v>429627.2943</v>
      </c>
      <c r="AE119" s="14">
        <f>IF(A119&lt;=Summary!B18,Z119+IF(A119=Summary!B18,Summary!B40-Y119,0),0)</f>
        <v>171225.4399</v>
      </c>
      <c r="AF119" s="14">
        <f>AD119-IF(A119=0,Drivers!B44,0)</f>
        <v>429627.2943</v>
      </c>
      <c r="AG119" s="14">
        <f t="shared" si="8"/>
        <v>-138818271.9</v>
      </c>
    </row>
    <row r="120">
      <c r="A120" s="2">
        <v>118.0</v>
      </c>
      <c r="B120" s="15">
        <f>EDATE(Setup!B2,A120)</f>
        <v>49870</v>
      </c>
      <c r="C120" s="2" t="str">
        <f>IF(A120=0,"T0",IF(A120&lt;=Drivers!B19,"Preconstruction",IF(A120&lt;=(Drivers!B19+Drivers!B20),"Construction","Trading")))</f>
        <v>Trading</v>
      </c>
      <c r="D120" s="12">
        <f t="array" ref="D120">IF(AND(A120&gt;Drivers!B19,A120&lt;=(Drivers!B19+Drivers!B20)),SIN(PI()*(A120-Drivers!B19-0.5)/Drivers!B20)/SUMPRODUCT(SIN(PI()*(SEQUENCE(Drivers!B20,1)-0.5)/Drivers!B20)),0)</f>
        <v>0</v>
      </c>
      <c r="E120" s="14">
        <f>(Summary!B10+Summary!B12)*D120*(1+Drivers!B21)^(A120/12)</f>
        <v>0</v>
      </c>
      <c r="F120" s="14">
        <f>IF(AND(A120&gt;0,A120&lt;=Drivers!B19),Summary!B11*Drivers!B40/Drivers!B19*(1+Drivers!B21)^(A120/12),Summary!B11*(1-Drivers!B40 )*D120*(1+Drivers!B21)^(A120/12))</f>
        <v>0</v>
      </c>
      <c r="G120" s="14">
        <f>IF(AND(A120&gt;0,A120&lt;=2),Drivers!B16/2,0)</f>
        <v>0</v>
      </c>
      <c r="H120" s="14">
        <f>IF(A120=(Drivers!B19+Drivers!B20),Drivers!B17*(1+Drivers!B21)^(A120/12),0)</f>
        <v>0</v>
      </c>
      <c r="I120" s="14">
        <f>IF(AND(A120&gt;0,A120&lt;=(Drivers!B19+Drivers!B20)),Drivers!B18*(1+Drivers!B23)^(A120/12),0)</f>
        <v>0</v>
      </c>
      <c r="J120" s="14">
        <f t="shared" si="1"/>
        <v>0</v>
      </c>
      <c r="K120" s="12">
        <f>IF(A120&gt;(Drivers!B19+Drivers!B20),MIN(1,0.5+0.5*(A120-(Drivers!B19+Drivers!B20))/Drivers!B39),0)</f>
        <v>1</v>
      </c>
      <c r="L120" s="14">
        <f>Drivers!B2*(B120-B119)*Drivers!B24*(1+Drivers!B22)^(A120/12)*Drivers!B25*K120</f>
        <v>1191185.839</v>
      </c>
      <c r="M120" s="14">
        <f>L120*Drivers!B26</f>
        <v>238237.1679</v>
      </c>
      <c r="N120" s="14">
        <f>(L120+M120)*Drivers!B27</f>
        <v>500298.0526</v>
      </c>
      <c r="O120" s="14">
        <f>IF(A120&gt;(Drivers!B19+Drivers!B20),Drivers!B28/12*(1+Drivers!B23)^(A120/12),0)</f>
        <v>490199.9339</v>
      </c>
      <c r="P120" s="14">
        <f>(L120+M120)*Drivers!B29</f>
        <v>57176.92029</v>
      </c>
      <c r="Q120" s="14">
        <f>Drivers!B3*Drivers!B30*(1+Drivers!B22)^(A120/12)*Drivers!B31*(1-Drivers!B32 )*K120</f>
        <v>93750.73736</v>
      </c>
      <c r="R120" s="14">
        <f>IF(A120&gt;(Drivers!B19+Drivers!B20),Drivers!B33/12*(1+Drivers!B23)^(A120/12),0)</f>
        <v>73529.99009</v>
      </c>
      <c r="S120" s="14">
        <f t="shared" si="2"/>
        <v>401968.8478</v>
      </c>
      <c r="T120" s="14">
        <f t="shared" si="6"/>
        <v>17058752.8</v>
      </c>
      <c r="U120" s="14">
        <f>IF(AND(A120&gt;Drivers!B19,A120&lt;=(Drivers!B19+Drivers!B20)),Summary!B31*D120,0)</f>
        <v>0</v>
      </c>
      <c r="V120" s="14">
        <f>IF(A120&lt;=(Drivers!B19+Drivers!B20),(T120+U120/2)*Drivers!B36/12,T120*Drivers!B36/12)</f>
        <v>163479.7143</v>
      </c>
      <c r="W120" s="14">
        <f>IF(A120&gt;(Drivers!B19+Drivers!B20),MIN(T120,MAX(0,Summary!B32/12-V120)),0)</f>
        <v>94922.14013</v>
      </c>
      <c r="X120" s="14">
        <f>IF(A120=(Drivers!B19+1),Summary!B31*Drivers!B38,0)</f>
        <v>0</v>
      </c>
      <c r="Y120" s="14">
        <f t="shared" si="3"/>
        <v>16963830.66</v>
      </c>
      <c r="Z120" s="14">
        <f t="shared" si="4"/>
        <v>143566.9934</v>
      </c>
      <c r="AA120" s="14">
        <f t="shared" si="7"/>
        <v>-138174627.2</v>
      </c>
      <c r="AB120" s="14">
        <f t="shared" si="5"/>
        <v>401968.8478</v>
      </c>
      <c r="AC120" s="14">
        <f>(E120+F120+G120+H120)*Drivers!B45</f>
        <v>0</v>
      </c>
      <c r="AD120" s="14">
        <f>IF(A120&lt;=Summary!B18,AB120+IF(A120=Summary!B18,Summary!B40,0),0)</f>
        <v>401968.8478</v>
      </c>
      <c r="AE120" s="14">
        <f>IF(A120&lt;=Summary!B18,Z120+IF(A120=Summary!B18,Summary!B40-Y120,0),0)</f>
        <v>143566.9934</v>
      </c>
      <c r="AF120" s="14">
        <f>AD120-IF(A120=0,Drivers!B44,0)</f>
        <v>401968.8478</v>
      </c>
      <c r="AG120" s="14">
        <f t="shared" si="8"/>
        <v>-138416303</v>
      </c>
    </row>
    <row r="121">
      <c r="A121" s="2">
        <v>119.0</v>
      </c>
      <c r="B121" s="15">
        <f>EDATE(Setup!B2,A121)</f>
        <v>49901</v>
      </c>
      <c r="C121" s="2" t="str">
        <f>IF(A121=0,"T0",IF(A121&lt;=Drivers!B19,"Preconstruction",IF(A121&lt;=(Drivers!B19+Drivers!B20),"Construction","Trading")))</f>
        <v>Trading</v>
      </c>
      <c r="D121" s="12">
        <f t="array" ref="D121">IF(AND(A121&gt;Drivers!B19,A121&lt;=(Drivers!B19+Drivers!B20)),SIN(PI()*(A121-Drivers!B19-0.5)/Drivers!B20)/SUMPRODUCT(SIN(PI()*(SEQUENCE(Drivers!B20,1)-0.5)/Drivers!B20)),0)</f>
        <v>0</v>
      </c>
      <c r="E121" s="14">
        <f>(Summary!B10+Summary!B12)*D121*(1+Drivers!B21)^(A121/12)</f>
        <v>0</v>
      </c>
      <c r="F121" s="14">
        <f>IF(AND(A121&gt;0,A121&lt;=Drivers!B19),Summary!B11*Drivers!B40/Drivers!B19*(1+Drivers!B21)^(A121/12),Summary!B11*(1-Drivers!B40 )*D121*(1+Drivers!B21)^(A121/12))</f>
        <v>0</v>
      </c>
      <c r="G121" s="14">
        <f>IF(AND(A121&gt;0,A121&lt;=2),Drivers!B16/2,0)</f>
        <v>0</v>
      </c>
      <c r="H121" s="14">
        <f>IF(A121=(Drivers!B19+Drivers!B20),Drivers!B17*(1+Drivers!B21)^(A121/12),0)</f>
        <v>0</v>
      </c>
      <c r="I121" s="14">
        <f>IF(AND(A121&gt;0,A121&lt;=(Drivers!B19+Drivers!B20)),Drivers!B18*(1+Drivers!B23)^(A121/12),0)</f>
        <v>0</v>
      </c>
      <c r="J121" s="14">
        <f t="shared" si="1"/>
        <v>0</v>
      </c>
      <c r="K121" s="12">
        <f>IF(A121&gt;(Drivers!B19+Drivers!B20),MIN(1,0.5+0.5*(A121-(Drivers!B19+Drivers!B20))/Drivers!B39),0)</f>
        <v>1</v>
      </c>
      <c r="L121" s="14">
        <f>Drivers!B2*(B121-B120)*Drivers!B24*(1+Drivers!B22)^(A121/12)*Drivers!B25*K121</f>
        <v>1234921.654</v>
      </c>
      <c r="M121" s="14">
        <f>L121*Drivers!B26</f>
        <v>246984.3309</v>
      </c>
      <c r="N121" s="14">
        <f>(L121+M121)*Drivers!B27</f>
        <v>518667.0948</v>
      </c>
      <c r="O121" s="14">
        <f>IF(A121&gt;(Drivers!B19+Drivers!B20),Drivers!B28/12*(1+Drivers!B23)^(A121/12),0)</f>
        <v>491804.721</v>
      </c>
      <c r="P121" s="14">
        <f>(L121+M121)*Drivers!B29</f>
        <v>59276.23941</v>
      </c>
      <c r="Q121" s="14">
        <f>Drivers!B3*Drivers!B30*(1+Drivers!B22)^(A121/12)*Drivers!B31*(1-Drivers!B32 )*K121</f>
        <v>94057.65288</v>
      </c>
      <c r="R121" s="14">
        <f>IF(A121&gt;(Drivers!B19+Drivers!B20),Drivers!B33/12*(1+Drivers!B23)^(A121/12),0)</f>
        <v>73770.70814</v>
      </c>
      <c r="S121" s="14">
        <f t="shared" si="2"/>
        <v>432444.8747</v>
      </c>
      <c r="T121" s="14">
        <f t="shared" si="6"/>
        <v>16963830.66</v>
      </c>
      <c r="U121" s="14">
        <f>IF(AND(A121&gt;Drivers!B19,A121&lt;=(Drivers!B19+Drivers!B20)),Summary!B31*D121,0)</f>
        <v>0</v>
      </c>
      <c r="V121" s="14">
        <f>IF(A121&lt;=(Drivers!B19+Drivers!B20),(T121+U121/2)*Drivers!B36/12,T121*Drivers!B36/12)</f>
        <v>162570.0438</v>
      </c>
      <c r="W121" s="14">
        <f>IF(A121&gt;(Drivers!B19+Drivers!B20),MIN(T121,MAX(0,Summary!B32/12-V121)),0)</f>
        <v>95831.81064</v>
      </c>
      <c r="X121" s="14">
        <f>IF(A121=(Drivers!B19+1),Summary!B31*Drivers!B38,0)</f>
        <v>0</v>
      </c>
      <c r="Y121" s="14">
        <f t="shared" si="3"/>
        <v>16867998.84</v>
      </c>
      <c r="Z121" s="14">
        <f t="shared" si="4"/>
        <v>174043.0203</v>
      </c>
      <c r="AA121" s="14">
        <f t="shared" si="7"/>
        <v>-138000584.1</v>
      </c>
      <c r="AB121" s="14">
        <f t="shared" si="5"/>
        <v>432444.8747</v>
      </c>
      <c r="AC121" s="14">
        <f>(E121+F121+G121+H121)*Drivers!B45</f>
        <v>0</v>
      </c>
      <c r="AD121" s="14">
        <f>IF(A121&lt;=Summary!B18,AB121+IF(A121=Summary!B18,Summary!B40,0),0)</f>
        <v>432444.8747</v>
      </c>
      <c r="AE121" s="14">
        <f>IF(A121&lt;=Summary!B18,Z121+IF(A121=Summary!B18,Summary!B40-Y121,0),0)</f>
        <v>174043.0203</v>
      </c>
      <c r="AF121" s="14">
        <f>AD121-IF(A121=0,Drivers!B44,0)</f>
        <v>432444.8747</v>
      </c>
      <c r="AG121" s="14">
        <f t="shared" si="8"/>
        <v>-137983858.1</v>
      </c>
    </row>
    <row r="122">
      <c r="A122" s="2">
        <v>120.0</v>
      </c>
      <c r="B122" s="15">
        <f>EDATE(Setup!B2,A122)</f>
        <v>49932</v>
      </c>
      <c r="C122" s="2" t="str">
        <f>IF(A122=0,"T0",IF(A122&lt;=Drivers!B19,"Preconstruction",IF(A122&lt;=(Drivers!B19+Drivers!B20),"Construction","Trading")))</f>
        <v>Trading</v>
      </c>
      <c r="D122" s="12">
        <f t="array" ref="D122">IF(AND(A122&gt;Drivers!B19,A122&lt;=(Drivers!B19+Drivers!B20)),SIN(PI()*(A122-Drivers!B19-0.5)/Drivers!B20)/SUMPRODUCT(SIN(PI()*(SEQUENCE(Drivers!B20,1)-0.5)/Drivers!B20)),0)</f>
        <v>0</v>
      </c>
      <c r="E122" s="14">
        <f>(Summary!B10+Summary!B12)*D122*(1+Drivers!B21)^(A122/12)</f>
        <v>0</v>
      </c>
      <c r="F122" s="14">
        <f>IF(AND(A122&gt;0,A122&lt;=Drivers!B19),Summary!B11*Drivers!B40/Drivers!B19*(1+Drivers!B21)^(A122/12),Summary!B11*(1-Drivers!B40 )*D122*(1+Drivers!B21)^(A122/12))</f>
        <v>0</v>
      </c>
      <c r="G122" s="14">
        <f>IF(AND(A122&gt;0,A122&lt;=2),Drivers!B16/2,0)</f>
        <v>0</v>
      </c>
      <c r="H122" s="14">
        <f>IF(A122=(Drivers!B19+Drivers!B20),Drivers!B17*(1+Drivers!B21)^(A122/12),0)</f>
        <v>0</v>
      </c>
      <c r="I122" s="14">
        <f>IF(AND(A122&gt;0,A122&lt;=(Drivers!B19+Drivers!B20)),Drivers!B18*(1+Drivers!B23)^(A122/12),0)</f>
        <v>0</v>
      </c>
      <c r="J122" s="14">
        <f t="shared" si="1"/>
        <v>0</v>
      </c>
      <c r="K122" s="12">
        <f>IF(A122&gt;(Drivers!B19+Drivers!B20),MIN(1,0.5+0.5*(A122-(Drivers!B19+Drivers!B20))/Drivers!B39),0)</f>
        <v>1</v>
      </c>
      <c r="L122" s="14">
        <f>Drivers!B2*(B122-B121)*Drivers!B24*(1+Drivers!B22)^(A122/12)*Drivers!B25*K122</f>
        <v>1238964.466</v>
      </c>
      <c r="M122" s="14">
        <f>L122*Drivers!B26</f>
        <v>247792.8933</v>
      </c>
      <c r="N122" s="14">
        <f>(L122+M122)*Drivers!B27</f>
        <v>520365.0759</v>
      </c>
      <c r="O122" s="14">
        <f>IF(A122&gt;(Drivers!B19+Drivers!B20),Drivers!B28/12*(1+Drivers!B23)^(A122/12),0)</f>
        <v>493414.7616</v>
      </c>
      <c r="P122" s="14">
        <f>(L122+M122)*Drivers!B29</f>
        <v>59470.29439</v>
      </c>
      <c r="Q122" s="14">
        <f>Drivers!B3*Drivers!B30*(1+Drivers!B22)^(A122/12)*Drivers!B31*(1-Drivers!B32 )*K122</f>
        <v>94365.57316</v>
      </c>
      <c r="R122" s="14">
        <f>IF(A122&gt;(Drivers!B19+Drivers!B20),Drivers!B33/12*(1+Drivers!B23)^(A122/12),0)</f>
        <v>74012.21425</v>
      </c>
      <c r="S122" s="14">
        <f t="shared" si="2"/>
        <v>433860.5867</v>
      </c>
      <c r="T122" s="14">
        <f t="shared" si="6"/>
        <v>16867998.84</v>
      </c>
      <c r="U122" s="14">
        <f>IF(AND(A122&gt;Drivers!B19,A122&lt;=(Drivers!B19+Drivers!B20)),Summary!B31*D122,0)</f>
        <v>0</v>
      </c>
      <c r="V122" s="14">
        <f>IF(A122&lt;=(Drivers!B19+Drivers!B20),(T122+U122/2)*Drivers!B36/12,T122*Drivers!B36/12)</f>
        <v>161651.6556</v>
      </c>
      <c r="W122" s="14">
        <f>IF(A122&gt;(Drivers!B19+Drivers!B20),MIN(T122,MAX(0,Summary!B32/12-V122)),0)</f>
        <v>96750.19882</v>
      </c>
      <c r="X122" s="14">
        <f>IF(A122=(Drivers!B19+1),Summary!B31*Drivers!B38,0)</f>
        <v>0</v>
      </c>
      <c r="Y122" s="14">
        <f t="shared" si="3"/>
        <v>16771248.65</v>
      </c>
      <c r="Z122" s="14">
        <f t="shared" si="4"/>
        <v>175458.7323</v>
      </c>
      <c r="AA122" s="14">
        <f t="shared" si="7"/>
        <v>-137825125.4</v>
      </c>
      <c r="AB122" s="14">
        <f t="shared" si="5"/>
        <v>433860.5867</v>
      </c>
      <c r="AC122" s="14">
        <f>(E122+F122+G122+H122)*Drivers!B45</f>
        <v>0</v>
      </c>
      <c r="AD122" s="14">
        <f>IF(A122&lt;=Summary!B18,AB122+IF(A122=Summary!B18,Summary!B40,0),0)</f>
        <v>433860.5867</v>
      </c>
      <c r="AE122" s="14">
        <f>IF(A122&lt;=Summary!B18,Z122+IF(A122=Summary!B18,Summary!B40-Y122,0),0)</f>
        <v>175458.7323</v>
      </c>
      <c r="AF122" s="14">
        <f>AD122-IF(A122=0,Drivers!B44,0)</f>
        <v>433860.5867</v>
      </c>
      <c r="AG122" s="14">
        <f t="shared" si="8"/>
        <v>-137549997.5</v>
      </c>
    </row>
    <row r="123">
      <c r="A123" s="2">
        <v>121.0</v>
      </c>
      <c r="B123" s="15">
        <f>EDATE(Setup!B2,A123)</f>
        <v>49962</v>
      </c>
      <c r="C123" s="2" t="str">
        <f>IF(A123=0,"T0",IF(A123&lt;=Drivers!B19,"Preconstruction",IF(A123&lt;=(Drivers!B19+Drivers!B20),"Construction","Trading")))</f>
        <v>Trading</v>
      </c>
      <c r="D123" s="12">
        <f t="array" ref="D123">IF(AND(A123&gt;Drivers!B19,A123&lt;=(Drivers!B19+Drivers!B20)),SIN(PI()*(A123-Drivers!B19-0.5)/Drivers!B20)/SUMPRODUCT(SIN(PI()*(SEQUENCE(Drivers!B20,1)-0.5)/Drivers!B20)),0)</f>
        <v>0</v>
      </c>
      <c r="E123" s="14">
        <f>(Summary!B10+Summary!B12)*D123*(1+Drivers!B21)^(A123/12)</f>
        <v>0</v>
      </c>
      <c r="F123" s="14">
        <f>IF(AND(A123&gt;0,A123&lt;=Drivers!B19),Summary!B11*Drivers!B40/Drivers!B19*(1+Drivers!B21)^(A123/12),Summary!B11*(1-Drivers!B40 )*D123*(1+Drivers!B21)^(A123/12))</f>
        <v>0</v>
      </c>
      <c r="G123" s="14">
        <f>IF(AND(A123&gt;0,A123&lt;=2),Drivers!B16/2,0)</f>
        <v>0</v>
      </c>
      <c r="H123" s="14">
        <f>IF(A123=(Drivers!B19+Drivers!B20),Drivers!B17*(1+Drivers!B21)^(A123/12),0)</f>
        <v>0</v>
      </c>
      <c r="I123" s="14">
        <f>IF(AND(A123&gt;0,A123&lt;=(Drivers!B19+Drivers!B20)),Drivers!B18*(1+Drivers!B23)^(A123/12),0)</f>
        <v>0</v>
      </c>
      <c r="J123" s="14">
        <f t="shared" si="1"/>
        <v>0</v>
      </c>
      <c r="K123" s="12">
        <f>IF(A123&gt;(Drivers!B19+Drivers!B20),MIN(1,0.5+0.5*(A123-(Drivers!B19+Drivers!B20))/Drivers!B39),0)</f>
        <v>1</v>
      </c>
      <c r="L123" s="14">
        <f>Drivers!B2*(B123-B122)*Drivers!B24*(1+Drivers!B22)^(A123/12)*Drivers!B25*K123</f>
        <v>1202923.078</v>
      </c>
      <c r="M123" s="14">
        <f>L123*Drivers!B26</f>
        <v>240584.6156</v>
      </c>
      <c r="N123" s="14">
        <f>(L123+M123)*Drivers!B27</f>
        <v>505227.6927</v>
      </c>
      <c r="O123" s="14">
        <f>IF(A123&gt;(Drivers!B19+Drivers!B20),Drivers!B28/12*(1+Drivers!B23)^(A123/12),0)</f>
        <v>495030.0732</v>
      </c>
      <c r="P123" s="14">
        <f>(L123+M123)*Drivers!B29</f>
        <v>57740.30773</v>
      </c>
      <c r="Q123" s="14">
        <f>Drivers!B3*Drivers!B30*(1+Drivers!B22)^(A123/12)*Drivers!B31*(1-Drivers!B32 )*K123</f>
        <v>94674.50149</v>
      </c>
      <c r="R123" s="14">
        <f>IF(A123&gt;(Drivers!B19+Drivers!B20),Drivers!B33/12*(1+Drivers!B23)^(A123/12),0)</f>
        <v>74254.51098</v>
      </c>
      <c r="S123" s="14">
        <f t="shared" si="2"/>
        <v>405929.6103</v>
      </c>
      <c r="T123" s="14">
        <f t="shared" si="6"/>
        <v>16771248.65</v>
      </c>
      <c r="U123" s="14">
        <f>IF(AND(A123&gt;Drivers!B19,A123&lt;=(Drivers!B19+Drivers!B20)),Summary!B31*D123,0)</f>
        <v>0</v>
      </c>
      <c r="V123" s="14">
        <f>IF(A123&lt;=(Drivers!B19+Drivers!B20),(T123+U123/2)*Drivers!B36/12,T123*Drivers!B36/12)</f>
        <v>160724.4662</v>
      </c>
      <c r="W123" s="14">
        <f>IF(A123&gt;(Drivers!B19+Drivers!B20),MIN(T123,MAX(0,Summary!B32/12-V123)),0)</f>
        <v>97677.38823</v>
      </c>
      <c r="X123" s="14">
        <f>IF(A123=(Drivers!B19+1),Summary!B31*Drivers!B38,0)</f>
        <v>0</v>
      </c>
      <c r="Y123" s="14">
        <f t="shared" si="3"/>
        <v>16673571.26</v>
      </c>
      <c r="Z123" s="14">
        <f t="shared" si="4"/>
        <v>147527.7559</v>
      </c>
      <c r="AA123" s="14">
        <f t="shared" si="7"/>
        <v>-137677597.6</v>
      </c>
      <c r="AB123" s="14">
        <f t="shared" si="5"/>
        <v>405929.6103</v>
      </c>
      <c r="AC123" s="14">
        <f>(E123+F123+G123+H123)*Drivers!B45</f>
        <v>0</v>
      </c>
      <c r="AD123" s="14">
        <f>IF(A123&lt;=Summary!B18,AB123+IF(A123=Summary!B18,Summary!B40,0),0)</f>
        <v>405929.6103</v>
      </c>
      <c r="AE123" s="14">
        <f>IF(A123&lt;=Summary!B18,Z123+IF(A123=Summary!B18,Summary!B40-Y123,0),0)</f>
        <v>147527.7559</v>
      </c>
      <c r="AF123" s="14">
        <f>AD123-IF(A123=0,Drivers!B44,0)</f>
        <v>405929.6103</v>
      </c>
      <c r="AG123" s="14">
        <f t="shared" si="8"/>
        <v>-137144067.9</v>
      </c>
    </row>
    <row r="124">
      <c r="A124" s="2">
        <v>122.0</v>
      </c>
      <c r="B124" s="15">
        <f>EDATE(Setup!B2,A124)</f>
        <v>49993</v>
      </c>
      <c r="C124" s="2" t="str">
        <f>IF(A124=0,"T0",IF(A124&lt;=Drivers!B19,"Preconstruction",IF(A124&lt;=(Drivers!B19+Drivers!B20),"Construction","Trading")))</f>
        <v>Trading</v>
      </c>
      <c r="D124" s="12">
        <f t="array" ref="D124">IF(AND(A124&gt;Drivers!B19,A124&lt;=(Drivers!B19+Drivers!B20)),SIN(PI()*(A124-Drivers!B19-0.5)/Drivers!B20)/SUMPRODUCT(SIN(PI()*(SEQUENCE(Drivers!B20,1)-0.5)/Drivers!B20)),0)</f>
        <v>0</v>
      </c>
      <c r="E124" s="14">
        <f>(Summary!B10+Summary!B12)*D124*(1+Drivers!B21)^(A124/12)</f>
        <v>0</v>
      </c>
      <c r="F124" s="14">
        <f>IF(AND(A124&gt;0,A124&lt;=Drivers!B19),Summary!B11*Drivers!B40/Drivers!B19*(1+Drivers!B21)^(A124/12),Summary!B11*(1-Drivers!B40 )*D124*(1+Drivers!B21)^(A124/12))</f>
        <v>0</v>
      </c>
      <c r="G124" s="14">
        <f>IF(AND(A124&gt;0,A124&lt;=2),Drivers!B16/2,0)</f>
        <v>0</v>
      </c>
      <c r="H124" s="14">
        <f>IF(A124=(Drivers!B19+Drivers!B20),Drivers!B17*(1+Drivers!B21)^(A124/12),0)</f>
        <v>0</v>
      </c>
      <c r="I124" s="14">
        <f>IF(AND(A124&gt;0,A124&lt;=(Drivers!B19+Drivers!B20)),Drivers!B18*(1+Drivers!B23)^(A124/12),0)</f>
        <v>0</v>
      </c>
      <c r="J124" s="14">
        <f t="shared" si="1"/>
        <v>0</v>
      </c>
      <c r="K124" s="12">
        <f>IF(A124&gt;(Drivers!B19+Drivers!B20),MIN(1,0.5+0.5*(A124-(Drivers!B19+Drivers!B20))/Drivers!B39),0)</f>
        <v>1</v>
      </c>
      <c r="L124" s="14">
        <f>Drivers!B2*(B124-B123)*Drivers!B24*(1+Drivers!B22)^(A124/12)*Drivers!B25*K124</f>
        <v>1247089.839</v>
      </c>
      <c r="M124" s="14">
        <f>L124*Drivers!B26</f>
        <v>249417.9679</v>
      </c>
      <c r="N124" s="14">
        <f>(L124+M124)*Drivers!B27</f>
        <v>523777.7326</v>
      </c>
      <c r="O124" s="14">
        <f>IF(A124&gt;(Drivers!B19+Drivers!B20),Drivers!B28/12*(1+Drivers!B23)^(A124/12),0)</f>
        <v>496650.6728</v>
      </c>
      <c r="P124" s="14">
        <f>(L124+M124)*Drivers!B29</f>
        <v>59860.31229</v>
      </c>
      <c r="Q124" s="14">
        <f>Drivers!B3*Drivers!B30*(1+Drivers!B22)^(A124/12)*Drivers!B31*(1-Drivers!B32 )*K124</f>
        <v>94984.44118</v>
      </c>
      <c r="R124" s="14">
        <f>IF(A124&gt;(Drivers!B19+Drivers!B20),Drivers!B33/12*(1+Drivers!B23)^(A124/12),0)</f>
        <v>74497.60092</v>
      </c>
      <c r="S124" s="14">
        <f t="shared" si="2"/>
        <v>436705.9299</v>
      </c>
      <c r="T124" s="14">
        <f t="shared" si="6"/>
        <v>16673571.26</v>
      </c>
      <c r="U124" s="14">
        <f>IF(AND(A124&gt;Drivers!B19,A124&lt;=(Drivers!B19+Drivers!B20)),Summary!B31*D124,0)</f>
        <v>0</v>
      </c>
      <c r="V124" s="14">
        <f>IF(A124&lt;=(Drivers!B19+Drivers!B20),(T124+U124/2)*Drivers!B36/12,T124*Drivers!B36/12)</f>
        <v>159788.3912</v>
      </c>
      <c r="W124" s="14">
        <f>IF(A124&gt;(Drivers!B19+Drivers!B20),MIN(T124,MAX(0,Summary!B32/12-V124)),0)</f>
        <v>98613.4632</v>
      </c>
      <c r="X124" s="14">
        <f>IF(A124=(Drivers!B19+1),Summary!B31*Drivers!B38,0)</f>
        <v>0</v>
      </c>
      <c r="Y124" s="14">
        <f t="shared" si="3"/>
        <v>16574957.79</v>
      </c>
      <c r="Z124" s="14">
        <f t="shared" si="4"/>
        <v>178304.0755</v>
      </c>
      <c r="AA124" s="14">
        <f t="shared" si="7"/>
        <v>-137499293.6</v>
      </c>
      <c r="AB124" s="14">
        <f t="shared" si="5"/>
        <v>436705.9299</v>
      </c>
      <c r="AC124" s="14">
        <f>(E124+F124+G124+H124)*Drivers!B45</f>
        <v>0</v>
      </c>
      <c r="AD124" s="14">
        <f>IF(A124&lt;=Summary!B18,AB124+IF(A124=Summary!B18,Summary!B40,0),0)</f>
        <v>436705.9299</v>
      </c>
      <c r="AE124" s="14">
        <f>IF(A124&lt;=Summary!B18,Z124+IF(A124=Summary!B18,Summary!B40-Y124,0),0)</f>
        <v>178304.0755</v>
      </c>
      <c r="AF124" s="14">
        <f>AD124-IF(A124=0,Drivers!B44,0)</f>
        <v>436705.9299</v>
      </c>
      <c r="AG124" s="14">
        <f t="shared" si="8"/>
        <v>-136707362</v>
      </c>
    </row>
    <row r="125">
      <c r="A125" s="2">
        <v>123.0</v>
      </c>
      <c r="B125" s="15">
        <f>EDATE(Setup!B2,A125)</f>
        <v>50023</v>
      </c>
      <c r="C125" s="2" t="str">
        <f>IF(A125=0,"T0",IF(A125&lt;=Drivers!B19,"Preconstruction",IF(A125&lt;=(Drivers!B19+Drivers!B20),"Construction","Trading")))</f>
        <v>Trading</v>
      </c>
      <c r="D125" s="12">
        <f t="array" ref="D125">IF(AND(A125&gt;Drivers!B19,A125&lt;=(Drivers!B19+Drivers!B20)),SIN(PI()*(A125-Drivers!B19-0.5)/Drivers!B20)/SUMPRODUCT(SIN(PI()*(SEQUENCE(Drivers!B20,1)-0.5)/Drivers!B20)),0)</f>
        <v>0</v>
      </c>
      <c r="E125" s="14">
        <f>(Summary!B10+Summary!B12)*D125*(1+Drivers!B21)^(A125/12)</f>
        <v>0</v>
      </c>
      <c r="F125" s="14">
        <f>IF(AND(A125&gt;0,A125&lt;=Drivers!B19),Summary!B11*Drivers!B40/Drivers!B19*(1+Drivers!B21)^(A125/12),Summary!B11*(1-Drivers!B40 )*D125*(1+Drivers!B21)^(A125/12))</f>
        <v>0</v>
      </c>
      <c r="G125" s="14">
        <f>IF(AND(A125&gt;0,A125&lt;=2),Drivers!B16/2,0)</f>
        <v>0</v>
      </c>
      <c r="H125" s="14">
        <f>IF(A125=(Drivers!B19+Drivers!B20),Drivers!B17*(1+Drivers!B21)^(A125/12),0)</f>
        <v>0</v>
      </c>
      <c r="I125" s="14">
        <f>IF(AND(A125&gt;0,A125&lt;=(Drivers!B19+Drivers!B20)),Drivers!B18*(1+Drivers!B23)^(A125/12),0)</f>
        <v>0</v>
      </c>
      <c r="J125" s="14">
        <f t="shared" si="1"/>
        <v>0</v>
      </c>
      <c r="K125" s="12">
        <f>IF(A125&gt;(Drivers!B19+Drivers!B20),MIN(1,0.5+0.5*(A125-(Drivers!B19+Drivers!B20))/Drivers!B39),0)</f>
        <v>1</v>
      </c>
      <c r="L125" s="14">
        <f>Drivers!B2*(B125-B124)*Drivers!B24*(1+Drivers!B22)^(A125/12)*Drivers!B25*K125</f>
        <v>1210812.084</v>
      </c>
      <c r="M125" s="14">
        <f>L125*Drivers!B26</f>
        <v>242162.4169</v>
      </c>
      <c r="N125" s="14">
        <f>(L125+M125)*Drivers!B27</f>
        <v>508541.0754</v>
      </c>
      <c r="O125" s="14">
        <f>IF(A125&gt;(Drivers!B19+Drivers!B20),Drivers!B28/12*(1+Drivers!B23)^(A125/12),0)</f>
        <v>498276.5779</v>
      </c>
      <c r="P125" s="14">
        <f>(L125+M125)*Drivers!B29</f>
        <v>58118.98004</v>
      </c>
      <c r="Q125" s="14">
        <f>Drivers!B3*Drivers!B30*(1+Drivers!B22)^(A125/12)*Drivers!B31*(1-Drivers!B32 )*K125</f>
        <v>95295.39552</v>
      </c>
      <c r="R125" s="14">
        <f>IF(A125&gt;(Drivers!B19+Drivers!B20),Drivers!B33/12*(1+Drivers!B23)^(A125/12),0)</f>
        <v>74741.48668</v>
      </c>
      <c r="S125" s="14">
        <f t="shared" si="2"/>
        <v>408591.7766</v>
      </c>
      <c r="T125" s="14">
        <f t="shared" si="6"/>
        <v>16574957.79</v>
      </c>
      <c r="U125" s="14">
        <f>IF(AND(A125&gt;Drivers!B19,A125&lt;=(Drivers!B19+Drivers!B20)),Summary!B31*D125,0)</f>
        <v>0</v>
      </c>
      <c r="V125" s="14">
        <f>IF(A125&lt;=(Drivers!B19+Drivers!B20),(T125+U125/2)*Drivers!B36/12,T125*Drivers!B36/12)</f>
        <v>158843.3455</v>
      </c>
      <c r="W125" s="14">
        <f>IF(A125&gt;(Drivers!B19+Drivers!B20),MIN(T125,MAX(0,Summary!B32/12-V125)),0)</f>
        <v>99558.50889</v>
      </c>
      <c r="X125" s="14">
        <f>IF(A125=(Drivers!B19+1),Summary!B31*Drivers!B38,0)</f>
        <v>0</v>
      </c>
      <c r="Y125" s="14">
        <f t="shared" si="3"/>
        <v>16475399.29</v>
      </c>
      <c r="Z125" s="14">
        <f t="shared" si="4"/>
        <v>150189.9222</v>
      </c>
      <c r="AA125" s="14">
        <f t="shared" si="7"/>
        <v>-137349103.6</v>
      </c>
      <c r="AB125" s="14">
        <f t="shared" si="5"/>
        <v>408591.7766</v>
      </c>
      <c r="AC125" s="14">
        <f>(E125+F125+G125+H125)*Drivers!B45</f>
        <v>0</v>
      </c>
      <c r="AD125" s="14">
        <f>IF(A125&lt;=Summary!B18,AB125+IF(A125=Summary!B18,Summary!B40,0),0)</f>
        <v>408591.7766</v>
      </c>
      <c r="AE125" s="14">
        <f>IF(A125&lt;=Summary!B18,Z125+IF(A125=Summary!B18,Summary!B40-Y125,0),0)</f>
        <v>150189.9222</v>
      </c>
      <c r="AF125" s="14">
        <f>AD125-IF(A125=0,Drivers!B44,0)</f>
        <v>408591.7766</v>
      </c>
      <c r="AG125" s="14">
        <f t="shared" si="8"/>
        <v>-136298770.2</v>
      </c>
    </row>
    <row r="126">
      <c r="A126" s="2">
        <v>124.0</v>
      </c>
      <c r="B126" s="15">
        <f>EDATE(Setup!B2,A126)</f>
        <v>50054</v>
      </c>
      <c r="C126" s="2" t="str">
        <f>IF(A126=0,"T0",IF(A126&lt;=Drivers!B19,"Preconstruction",IF(A126&lt;=(Drivers!B19+Drivers!B20),"Construction","Trading")))</f>
        <v>Trading</v>
      </c>
      <c r="D126" s="12">
        <f t="array" ref="D126">IF(AND(A126&gt;Drivers!B19,A126&lt;=(Drivers!B19+Drivers!B20)),SIN(PI()*(A126-Drivers!B19-0.5)/Drivers!B20)/SUMPRODUCT(SIN(PI()*(SEQUENCE(Drivers!B20,1)-0.5)/Drivers!B20)),0)</f>
        <v>0</v>
      </c>
      <c r="E126" s="14">
        <f>(Summary!B10+Summary!B12)*D126*(1+Drivers!B21)^(A126/12)</f>
        <v>0</v>
      </c>
      <c r="F126" s="14">
        <f>IF(AND(A126&gt;0,A126&lt;=Drivers!B19),Summary!B11*Drivers!B40/Drivers!B19*(1+Drivers!B21)^(A126/12),Summary!B11*(1-Drivers!B40 )*D126*(1+Drivers!B21)^(A126/12))</f>
        <v>0</v>
      </c>
      <c r="G126" s="14">
        <f>IF(AND(A126&gt;0,A126&lt;=2),Drivers!B16/2,0)</f>
        <v>0</v>
      </c>
      <c r="H126" s="14">
        <f>IF(A126=(Drivers!B19+Drivers!B20),Drivers!B17*(1+Drivers!B21)^(A126/12),0)</f>
        <v>0</v>
      </c>
      <c r="I126" s="14">
        <f>IF(AND(A126&gt;0,A126&lt;=(Drivers!B19+Drivers!B20)),Drivers!B18*(1+Drivers!B23)^(A126/12),0)</f>
        <v>0</v>
      </c>
      <c r="J126" s="14">
        <f t="shared" si="1"/>
        <v>0</v>
      </c>
      <c r="K126" s="12">
        <f>IF(A126&gt;(Drivers!B19+Drivers!B20),MIN(1,0.5+0.5*(A126-(Drivers!B19+Drivers!B20))/Drivers!B39),0)</f>
        <v>1</v>
      </c>
      <c r="L126" s="14">
        <f>Drivers!B2*(B126-B125)*Drivers!B24*(1+Drivers!B22)^(A126/12)*Drivers!B25*K126</f>
        <v>1255268.5</v>
      </c>
      <c r="M126" s="14">
        <f>L126*Drivers!B26</f>
        <v>251053.7</v>
      </c>
      <c r="N126" s="14">
        <f>(L126+M126)*Drivers!B27</f>
        <v>527212.7701</v>
      </c>
      <c r="O126" s="14">
        <f>IF(A126&gt;(Drivers!B19+Drivers!B20),Drivers!B28/12*(1+Drivers!B23)^(A126/12),0)</f>
        <v>499907.8057</v>
      </c>
      <c r="P126" s="14">
        <f>(L126+M126)*Drivers!B29</f>
        <v>60252.88801</v>
      </c>
      <c r="Q126" s="14">
        <f>Drivers!B3*Drivers!B30*(1+Drivers!B22)^(A126/12)*Drivers!B31*(1-Drivers!B32 )*K126</f>
        <v>95607.36785</v>
      </c>
      <c r="R126" s="14">
        <f>IF(A126&gt;(Drivers!B19+Drivers!B20),Drivers!B33/12*(1+Drivers!B23)^(A126/12),0)</f>
        <v>74986.17086</v>
      </c>
      <c r="S126" s="14">
        <f t="shared" si="2"/>
        <v>439569.9334</v>
      </c>
      <c r="T126" s="14">
        <f t="shared" si="6"/>
        <v>16475399.29</v>
      </c>
      <c r="U126" s="14">
        <f>IF(AND(A126&gt;Drivers!B19,A126&lt;=(Drivers!B19+Drivers!B20)),Summary!B31*D126,0)</f>
        <v>0</v>
      </c>
      <c r="V126" s="14">
        <f>IF(A126&lt;=(Drivers!B19+Drivers!B20),(T126+U126/2)*Drivers!B36/12,T126*Drivers!B36/12)</f>
        <v>157889.2432</v>
      </c>
      <c r="W126" s="14">
        <f>IF(A126&gt;(Drivers!B19+Drivers!B20),MIN(T126,MAX(0,Summary!B32/12-V126)),0)</f>
        <v>100512.6113</v>
      </c>
      <c r="X126" s="14">
        <f>IF(A126=(Drivers!B19+1),Summary!B31*Drivers!B38,0)</f>
        <v>0</v>
      </c>
      <c r="Y126" s="14">
        <f t="shared" si="3"/>
        <v>16374886.67</v>
      </c>
      <c r="Z126" s="14">
        <f t="shared" si="4"/>
        <v>181168.079</v>
      </c>
      <c r="AA126" s="14">
        <f t="shared" si="7"/>
        <v>-137167935.6</v>
      </c>
      <c r="AB126" s="14">
        <f t="shared" si="5"/>
        <v>439569.9334</v>
      </c>
      <c r="AC126" s="14">
        <f>(E126+F126+G126+H126)*Drivers!B45</f>
        <v>0</v>
      </c>
      <c r="AD126" s="14">
        <f>IF(A126&lt;=Summary!B18,AB126+IF(A126=Summary!B18,Summary!B40,0),0)</f>
        <v>439569.9334</v>
      </c>
      <c r="AE126" s="14">
        <f>IF(A126&lt;=Summary!B18,Z126+IF(A126=Summary!B18,Summary!B40-Y126,0),0)</f>
        <v>181168.079</v>
      </c>
      <c r="AF126" s="14">
        <f>AD126-IF(A126=0,Drivers!B44,0)</f>
        <v>439569.9334</v>
      </c>
      <c r="AG126" s="14">
        <f t="shared" si="8"/>
        <v>-135859200.3</v>
      </c>
    </row>
    <row r="127">
      <c r="A127" s="2">
        <v>125.0</v>
      </c>
      <c r="B127" s="15">
        <f>EDATE(Setup!B2,A127)</f>
        <v>50085</v>
      </c>
      <c r="C127" s="2" t="str">
        <f>IF(A127=0,"T0",IF(A127&lt;=Drivers!B19,"Preconstruction",IF(A127&lt;=(Drivers!B19+Drivers!B20),"Construction","Trading")))</f>
        <v>Trading</v>
      </c>
      <c r="D127" s="12">
        <f t="array" ref="D127">IF(AND(A127&gt;Drivers!B19,A127&lt;=(Drivers!B19+Drivers!B20)),SIN(PI()*(A127-Drivers!B19-0.5)/Drivers!B20)/SUMPRODUCT(SIN(PI()*(SEQUENCE(Drivers!B20,1)-0.5)/Drivers!B20)),0)</f>
        <v>0</v>
      </c>
      <c r="E127" s="14">
        <f>(Summary!B10+Summary!B12)*D127*(1+Drivers!B21)^(A127/12)</f>
        <v>0</v>
      </c>
      <c r="F127" s="14">
        <f>IF(AND(A127&gt;0,A127&lt;=Drivers!B19),Summary!B11*Drivers!B40/Drivers!B19*(1+Drivers!B21)^(A127/12),Summary!B11*(1-Drivers!B40 )*D127*(1+Drivers!B21)^(A127/12))</f>
        <v>0</v>
      </c>
      <c r="G127" s="14">
        <f>IF(AND(A127&gt;0,A127&lt;=2),Drivers!B16/2,0)</f>
        <v>0</v>
      </c>
      <c r="H127" s="14">
        <f>IF(A127=(Drivers!B19+Drivers!B20),Drivers!B17*(1+Drivers!B21)^(A127/12),0)</f>
        <v>0</v>
      </c>
      <c r="I127" s="14">
        <f>IF(AND(A127&gt;0,A127&lt;=(Drivers!B19+Drivers!B20)),Drivers!B18*(1+Drivers!B23)^(A127/12),0)</f>
        <v>0</v>
      </c>
      <c r="J127" s="14">
        <f t="shared" si="1"/>
        <v>0</v>
      </c>
      <c r="K127" s="12">
        <f>IF(A127&gt;(Drivers!B19+Drivers!B20),MIN(1,0.5+0.5*(A127-(Drivers!B19+Drivers!B20))/Drivers!B39),0)</f>
        <v>1</v>
      </c>
      <c r="L127" s="14">
        <f>Drivers!B2*(B127-B126)*Drivers!B24*(1+Drivers!B22)^(A127/12)*Drivers!B25*K127</f>
        <v>1259377.923</v>
      </c>
      <c r="M127" s="14">
        <f>L127*Drivers!B26</f>
        <v>251875.5845</v>
      </c>
      <c r="N127" s="14">
        <f>(L127+M127)*Drivers!B27</f>
        <v>528938.7275</v>
      </c>
      <c r="O127" s="14">
        <f>IF(A127&gt;(Drivers!B19+Drivers!B20),Drivers!B28/12*(1+Drivers!B23)^(A127/12),0)</f>
        <v>501544.3738</v>
      </c>
      <c r="P127" s="14">
        <f>(L127+M127)*Drivers!B29</f>
        <v>60450.14029</v>
      </c>
      <c r="Q127" s="14">
        <f>Drivers!B3*Drivers!B30*(1+Drivers!B22)^(A127/12)*Drivers!B31*(1-Drivers!B32 )*K127</f>
        <v>95920.36149</v>
      </c>
      <c r="R127" s="14">
        <f>IF(A127&gt;(Drivers!B19+Drivers!B20),Drivers!B33/12*(1+Drivers!B23)^(A127/12),0)</f>
        <v>75231.65607</v>
      </c>
      <c r="S127" s="14">
        <f t="shared" si="2"/>
        <v>441008.971</v>
      </c>
      <c r="T127" s="14">
        <f t="shared" si="6"/>
        <v>16374886.67</v>
      </c>
      <c r="U127" s="14">
        <f>IF(AND(A127&gt;Drivers!B19,A127&lt;=(Drivers!B19+Drivers!B20)),Summary!B31*D127,0)</f>
        <v>0</v>
      </c>
      <c r="V127" s="14">
        <f>IF(A127&lt;=(Drivers!B19+Drivers!B20),(T127+U127/2)*Drivers!B36/12,T127*Drivers!B36/12)</f>
        <v>156925.9973</v>
      </c>
      <c r="W127" s="14">
        <f>IF(A127&gt;(Drivers!B19+Drivers!B20),MIN(T127,MAX(0,Summary!B32/12-V127)),0)</f>
        <v>101475.8571</v>
      </c>
      <c r="X127" s="14">
        <f>IF(A127=(Drivers!B19+1),Summary!B31*Drivers!B38,0)</f>
        <v>0</v>
      </c>
      <c r="Y127" s="14">
        <f t="shared" si="3"/>
        <v>16273410.82</v>
      </c>
      <c r="Z127" s="14">
        <f t="shared" si="4"/>
        <v>182607.1166</v>
      </c>
      <c r="AA127" s="14">
        <f t="shared" si="7"/>
        <v>-136985328.5</v>
      </c>
      <c r="AB127" s="14">
        <f t="shared" si="5"/>
        <v>441008.971</v>
      </c>
      <c r="AC127" s="14">
        <f>(E127+F127+G127+H127)*Drivers!B45</f>
        <v>0</v>
      </c>
      <c r="AD127" s="14">
        <f>IF(A127&lt;=Summary!B18,AB127+IF(A127=Summary!B18,Summary!B40,0),0)</f>
        <v>441008.971</v>
      </c>
      <c r="AE127" s="14">
        <f>IF(A127&lt;=Summary!B18,Z127+IF(A127=Summary!B18,Summary!B40-Y127,0),0)</f>
        <v>182607.1166</v>
      </c>
      <c r="AF127" s="14">
        <f>AD127-IF(A127=0,Drivers!B44,0)</f>
        <v>441008.971</v>
      </c>
      <c r="AG127" s="14">
        <f t="shared" si="8"/>
        <v>-135418191.3</v>
      </c>
    </row>
    <row r="128">
      <c r="A128" s="2">
        <v>126.0</v>
      </c>
      <c r="B128" s="15">
        <f>EDATE(Setup!B2,A128)</f>
        <v>50113</v>
      </c>
      <c r="C128" s="2" t="str">
        <f>IF(A128=0,"T0",IF(A128&lt;=Drivers!B19,"Preconstruction",IF(A128&lt;=(Drivers!B19+Drivers!B20),"Construction","Trading")))</f>
        <v>Trading</v>
      </c>
      <c r="D128" s="12">
        <f t="array" ref="D128">IF(AND(A128&gt;Drivers!B19,A128&lt;=(Drivers!B19+Drivers!B20)),SIN(PI()*(A128-Drivers!B19-0.5)/Drivers!B20)/SUMPRODUCT(SIN(PI()*(SEQUENCE(Drivers!B20,1)-0.5)/Drivers!B20)),0)</f>
        <v>0</v>
      </c>
      <c r="E128" s="14">
        <f>(Summary!B10+Summary!B12)*D128*(1+Drivers!B21)^(A128/12)</f>
        <v>0</v>
      </c>
      <c r="F128" s="14">
        <f>IF(AND(A128&gt;0,A128&lt;=Drivers!B19),Summary!B11*Drivers!B40/Drivers!B19*(1+Drivers!B21)^(A128/12),Summary!B11*(1-Drivers!B40 )*D128*(1+Drivers!B21)^(A128/12))</f>
        <v>0</v>
      </c>
      <c r="G128" s="14">
        <f>IF(AND(A128&gt;0,A128&lt;=2),Drivers!B16/2,0)</f>
        <v>0</v>
      </c>
      <c r="H128" s="14">
        <f>IF(A128=(Drivers!B19+Drivers!B20),Drivers!B17*(1+Drivers!B21)^(A128/12),0)</f>
        <v>0</v>
      </c>
      <c r="I128" s="14">
        <f>IF(AND(A128&gt;0,A128&lt;=(Drivers!B19+Drivers!B20)),Drivers!B18*(1+Drivers!B23)^(A128/12),0)</f>
        <v>0</v>
      </c>
      <c r="J128" s="14">
        <f t="shared" si="1"/>
        <v>0</v>
      </c>
      <c r="K128" s="12">
        <f>IF(A128&gt;(Drivers!B19+Drivers!B20),MIN(1,0.5+0.5*(A128-(Drivers!B19+Drivers!B20))/Drivers!B39),0)</f>
        <v>1</v>
      </c>
      <c r="L128" s="14">
        <f>Drivers!B2*(B128-B127)*Drivers!B24*(1+Drivers!B22)^(A128/12)*Drivers!B25*K128</f>
        <v>1141226.527</v>
      </c>
      <c r="M128" s="14">
        <f>L128*Drivers!B26</f>
        <v>228245.3055</v>
      </c>
      <c r="N128" s="14">
        <f>(L128+M128)*Drivers!B27</f>
        <v>479315.1415</v>
      </c>
      <c r="O128" s="14">
        <f>IF(A128&gt;(Drivers!B19+Drivers!B20),Drivers!B28/12*(1+Drivers!B23)^(A128/12),0)</f>
        <v>503186.2996</v>
      </c>
      <c r="P128" s="14">
        <f>(L128+M128)*Drivers!B29</f>
        <v>54778.87332</v>
      </c>
      <c r="Q128" s="14">
        <f>Drivers!B3*Drivers!B30*(1+Drivers!B22)^(A128/12)*Drivers!B31*(1-Drivers!B32 )*K128</f>
        <v>96234.37979</v>
      </c>
      <c r="R128" s="14">
        <f>IF(A128&gt;(Drivers!B19+Drivers!B20),Drivers!B33/12*(1+Drivers!B23)^(A128/12),0)</f>
        <v>75477.94494</v>
      </c>
      <c r="S128" s="14">
        <f t="shared" si="2"/>
        <v>352947.9534</v>
      </c>
      <c r="T128" s="14">
        <f t="shared" si="6"/>
        <v>16273410.82</v>
      </c>
      <c r="U128" s="14">
        <f>IF(AND(A128&gt;Drivers!B19,A128&lt;=(Drivers!B19+Drivers!B20)),Summary!B31*D128,0)</f>
        <v>0</v>
      </c>
      <c r="V128" s="14">
        <f>IF(A128&lt;=(Drivers!B19+Drivers!B20),(T128+U128/2)*Drivers!B36/12,T128*Drivers!B36/12)</f>
        <v>155953.5203</v>
      </c>
      <c r="W128" s="14">
        <f>IF(A128&gt;(Drivers!B19+Drivers!B20),MIN(T128,MAX(0,Summary!B32/12-V128)),0)</f>
        <v>102448.3341</v>
      </c>
      <c r="X128" s="14">
        <f>IF(A128=(Drivers!B19+1),Summary!B31*Drivers!B38,0)</f>
        <v>0</v>
      </c>
      <c r="Y128" s="14">
        <f t="shared" si="3"/>
        <v>16170962.48</v>
      </c>
      <c r="Z128" s="14">
        <f t="shared" si="4"/>
        <v>94546.09895</v>
      </c>
      <c r="AA128" s="14">
        <f t="shared" si="7"/>
        <v>-136890782.4</v>
      </c>
      <c r="AB128" s="14">
        <f t="shared" si="5"/>
        <v>352947.9534</v>
      </c>
      <c r="AC128" s="14">
        <f>(E128+F128+G128+H128)*Drivers!B45</f>
        <v>0</v>
      </c>
      <c r="AD128" s="14">
        <f>IF(A128&lt;=Summary!B18,AB128+IF(A128=Summary!B18,Summary!B40,0),0)</f>
        <v>352947.9534</v>
      </c>
      <c r="AE128" s="14">
        <f>IF(A128&lt;=Summary!B18,Z128+IF(A128=Summary!B18,Summary!B40-Y128,0),0)</f>
        <v>94546.09895</v>
      </c>
      <c r="AF128" s="14">
        <f>AD128-IF(A128=0,Drivers!B44,0)</f>
        <v>352947.9534</v>
      </c>
      <c r="AG128" s="14">
        <f t="shared" si="8"/>
        <v>-135065243.4</v>
      </c>
    </row>
    <row r="129">
      <c r="A129" s="2">
        <v>127.0</v>
      </c>
      <c r="B129" s="15">
        <f>EDATE(Setup!B2,A129)</f>
        <v>50144</v>
      </c>
      <c r="C129" s="2" t="str">
        <f>IF(A129=0,"T0",IF(A129&lt;=Drivers!B19,"Preconstruction",IF(A129&lt;=(Drivers!B19+Drivers!B20),"Construction","Trading")))</f>
        <v>Trading</v>
      </c>
      <c r="D129" s="12">
        <f t="array" ref="D129">IF(AND(A129&gt;Drivers!B19,A129&lt;=(Drivers!B19+Drivers!B20)),SIN(PI()*(A129-Drivers!B19-0.5)/Drivers!B20)/SUMPRODUCT(SIN(PI()*(SEQUENCE(Drivers!B20,1)-0.5)/Drivers!B20)),0)</f>
        <v>0</v>
      </c>
      <c r="E129" s="14">
        <f>(Summary!B10+Summary!B12)*D129*(1+Drivers!B21)^(A129/12)</f>
        <v>0</v>
      </c>
      <c r="F129" s="14">
        <f>IF(AND(A129&gt;0,A129&lt;=Drivers!B19),Summary!B11*Drivers!B40/Drivers!B19*(1+Drivers!B21)^(A129/12),Summary!B11*(1-Drivers!B40 )*D129*(1+Drivers!B21)^(A129/12))</f>
        <v>0</v>
      </c>
      <c r="G129" s="14">
        <f>IF(AND(A129&gt;0,A129&lt;=2),Drivers!B16/2,0)</f>
        <v>0</v>
      </c>
      <c r="H129" s="14">
        <f>IF(A129=(Drivers!B19+Drivers!B20),Drivers!B17*(1+Drivers!B21)^(A129/12),0)</f>
        <v>0</v>
      </c>
      <c r="I129" s="14">
        <f>IF(AND(A129&gt;0,A129&lt;=(Drivers!B19+Drivers!B20)),Drivers!B18*(1+Drivers!B23)^(A129/12),0)</f>
        <v>0</v>
      </c>
      <c r="J129" s="14">
        <f t="shared" si="1"/>
        <v>0</v>
      </c>
      <c r="K129" s="12">
        <f>IF(A129&gt;(Drivers!B19+Drivers!B20),MIN(1,0.5+0.5*(A129-(Drivers!B19+Drivers!B20))/Drivers!B39),0)</f>
        <v>1</v>
      </c>
      <c r="L129" s="14">
        <f>Drivers!B2*(B129-B128)*Drivers!B24*(1+Drivers!B22)^(A129/12)*Drivers!B25*K129</f>
        <v>1267637.171</v>
      </c>
      <c r="M129" s="14">
        <f>L129*Drivers!B26</f>
        <v>253527.4342</v>
      </c>
      <c r="N129" s="14">
        <f>(L129+M129)*Drivers!B27</f>
        <v>532407.6118</v>
      </c>
      <c r="O129" s="14">
        <f>IF(A129&gt;(Drivers!B19+Drivers!B20),Drivers!B28/12*(1+Drivers!B23)^(A129/12),0)</f>
        <v>504833.6006</v>
      </c>
      <c r="P129" s="14">
        <f>(L129+M129)*Drivers!B29</f>
        <v>60846.58421</v>
      </c>
      <c r="Q129" s="14">
        <f>Drivers!B3*Drivers!B30*(1+Drivers!B22)^(A129/12)*Drivers!B31*(1-Drivers!B32 )*K129</f>
        <v>96549.42611</v>
      </c>
      <c r="R129" s="14">
        <f>IF(A129&gt;(Drivers!B19+Drivers!B20),Drivers!B33/12*(1+Drivers!B23)^(A129/12),0)</f>
        <v>75725.04009</v>
      </c>
      <c r="S129" s="14">
        <f t="shared" si="2"/>
        <v>443901.1947</v>
      </c>
      <c r="T129" s="14">
        <f t="shared" si="6"/>
        <v>16170962.48</v>
      </c>
      <c r="U129" s="14">
        <f>IF(AND(A129&gt;Drivers!B19,A129&lt;=(Drivers!B19+Drivers!B20)),Summary!B31*D129,0)</f>
        <v>0</v>
      </c>
      <c r="V129" s="14">
        <f>IF(A129&lt;=(Drivers!B19+Drivers!B20),(T129+U129/2)*Drivers!B36/12,T129*Drivers!B36/12)</f>
        <v>154971.7238</v>
      </c>
      <c r="W129" s="14">
        <f>IF(A129&gt;(Drivers!B19+Drivers!B20),MIN(T129,MAX(0,Summary!B32/12-V129)),0)</f>
        <v>103430.1306</v>
      </c>
      <c r="X129" s="14">
        <f>IF(A129=(Drivers!B19+1),Summary!B31*Drivers!B38,0)</f>
        <v>0</v>
      </c>
      <c r="Y129" s="14">
        <f t="shared" si="3"/>
        <v>16067532.35</v>
      </c>
      <c r="Z129" s="14">
        <f t="shared" si="4"/>
        <v>185499.3402</v>
      </c>
      <c r="AA129" s="14">
        <f t="shared" si="7"/>
        <v>-136705283</v>
      </c>
      <c r="AB129" s="14">
        <f t="shared" si="5"/>
        <v>443901.1947</v>
      </c>
      <c r="AC129" s="14">
        <f>(E129+F129+G129+H129)*Drivers!B45</f>
        <v>0</v>
      </c>
      <c r="AD129" s="14">
        <f>IF(A129&lt;=Summary!B18,AB129+IF(A129=Summary!B18,Summary!B40,0),0)</f>
        <v>443901.1947</v>
      </c>
      <c r="AE129" s="14">
        <f>IF(A129&lt;=Summary!B18,Z129+IF(A129=Summary!B18,Summary!B40-Y129,0),0)</f>
        <v>185499.3402</v>
      </c>
      <c r="AF129" s="14">
        <f>AD129-IF(A129=0,Drivers!B44,0)</f>
        <v>443901.1947</v>
      </c>
      <c r="AG129" s="14">
        <f t="shared" si="8"/>
        <v>-134621342.2</v>
      </c>
    </row>
    <row r="130">
      <c r="A130" s="2">
        <v>128.0</v>
      </c>
      <c r="B130" s="15">
        <f>EDATE(Setup!B2,A130)</f>
        <v>50174</v>
      </c>
      <c r="C130" s="2" t="str">
        <f>IF(A130=0,"T0",IF(A130&lt;=Drivers!B19,"Preconstruction",IF(A130&lt;=(Drivers!B19+Drivers!B20),"Construction","Trading")))</f>
        <v>Trading</v>
      </c>
      <c r="D130" s="12">
        <f t="array" ref="D130">IF(AND(A130&gt;Drivers!B19,A130&lt;=(Drivers!B19+Drivers!B20)),SIN(PI()*(A130-Drivers!B19-0.5)/Drivers!B20)/SUMPRODUCT(SIN(PI()*(SEQUENCE(Drivers!B20,1)-0.5)/Drivers!B20)),0)</f>
        <v>0</v>
      </c>
      <c r="E130" s="14">
        <f>(Summary!B10+Summary!B12)*D130*(1+Drivers!B21)^(A130/12)</f>
        <v>0</v>
      </c>
      <c r="F130" s="14">
        <f>IF(AND(A130&gt;0,A130&lt;=Drivers!B19),Summary!B11*Drivers!B40/Drivers!B19*(1+Drivers!B21)^(A130/12),Summary!B11*(1-Drivers!B40 )*D130*(1+Drivers!B21)^(A130/12))</f>
        <v>0</v>
      </c>
      <c r="G130" s="14">
        <f>IF(AND(A130&gt;0,A130&lt;=2),Drivers!B16/2,0)</f>
        <v>0</v>
      </c>
      <c r="H130" s="14">
        <f>IF(A130=(Drivers!B19+Drivers!B20),Drivers!B17*(1+Drivers!B21)^(A130/12),0)</f>
        <v>0</v>
      </c>
      <c r="I130" s="14">
        <f>IF(AND(A130&gt;0,A130&lt;=(Drivers!B19+Drivers!B20)),Drivers!B18*(1+Drivers!B23)^(A130/12),0)</f>
        <v>0</v>
      </c>
      <c r="J130" s="14">
        <f t="shared" si="1"/>
        <v>0</v>
      </c>
      <c r="K130" s="12">
        <f>IF(A130&gt;(Drivers!B19+Drivers!B20),MIN(1,0.5+0.5*(A130-(Drivers!B19+Drivers!B20))/Drivers!B39),0)</f>
        <v>1</v>
      </c>
      <c r="L130" s="14">
        <f>Drivers!B2*(B130-B129)*Drivers!B24*(1+Drivers!B22)^(A130/12)*Drivers!B25*K130</f>
        <v>1230761.695</v>
      </c>
      <c r="M130" s="14">
        <f>L130*Drivers!B26</f>
        <v>246152.3391</v>
      </c>
      <c r="N130" s="14">
        <f>(L130+M130)*Drivers!B27</f>
        <v>516919.9121</v>
      </c>
      <c r="O130" s="14">
        <f>IF(A130&gt;(Drivers!B19+Drivers!B20),Drivers!B28/12*(1+Drivers!B23)^(A130/12),0)</f>
        <v>506486.2944</v>
      </c>
      <c r="P130" s="14">
        <f>(L130+M130)*Drivers!B29</f>
        <v>59076.56138</v>
      </c>
      <c r="Q130" s="14">
        <f>Drivers!B3*Drivers!B30*(1+Drivers!B22)^(A130/12)*Drivers!B31*(1-Drivers!B32 )*K130</f>
        <v>96865.50381</v>
      </c>
      <c r="R130" s="14">
        <f>IF(A130&gt;(Drivers!B19+Drivers!B20),Drivers!B33/12*(1+Drivers!B23)^(A130/12),0)</f>
        <v>75972.94416</v>
      </c>
      <c r="S130" s="14">
        <f t="shared" si="2"/>
        <v>415323.8263</v>
      </c>
      <c r="T130" s="14">
        <f t="shared" si="6"/>
        <v>16067532.35</v>
      </c>
      <c r="U130" s="14">
        <f>IF(AND(A130&gt;Drivers!B19,A130&lt;=(Drivers!B19+Drivers!B20)),Summary!B31*D130,0)</f>
        <v>0</v>
      </c>
      <c r="V130" s="14">
        <f>IF(A130&lt;=(Drivers!B19+Drivers!B20),(T130+U130/2)*Drivers!B36/12,T130*Drivers!B36/12)</f>
        <v>153980.5184</v>
      </c>
      <c r="W130" s="14">
        <f>IF(A130&gt;(Drivers!B19+Drivers!B20),MIN(T130,MAX(0,Summary!B32/12-V130)),0)</f>
        <v>104421.336</v>
      </c>
      <c r="X130" s="14">
        <f>IF(A130=(Drivers!B19+1),Summary!B31*Drivers!B38,0)</f>
        <v>0</v>
      </c>
      <c r="Y130" s="14">
        <f t="shared" si="3"/>
        <v>15963111.02</v>
      </c>
      <c r="Z130" s="14">
        <f t="shared" si="4"/>
        <v>156921.9719</v>
      </c>
      <c r="AA130" s="14">
        <f t="shared" si="7"/>
        <v>-136548361</v>
      </c>
      <c r="AB130" s="14">
        <f t="shared" si="5"/>
        <v>415323.8263</v>
      </c>
      <c r="AC130" s="14">
        <f>(E130+F130+G130+H130)*Drivers!B45</f>
        <v>0</v>
      </c>
      <c r="AD130" s="14">
        <f>IF(A130&lt;=Summary!B18,AB130+IF(A130=Summary!B18,Summary!B40,0),0)</f>
        <v>415323.8263</v>
      </c>
      <c r="AE130" s="14">
        <f>IF(A130&lt;=Summary!B18,Z130+IF(A130=Summary!B18,Summary!B40-Y130,0),0)</f>
        <v>156921.9719</v>
      </c>
      <c r="AF130" s="14">
        <f>AD130-IF(A130=0,Drivers!B44,0)</f>
        <v>415323.8263</v>
      </c>
      <c r="AG130" s="14">
        <f t="shared" si="8"/>
        <v>-134206018.3</v>
      </c>
    </row>
    <row r="131">
      <c r="A131" s="2">
        <v>129.0</v>
      </c>
      <c r="B131" s="15">
        <f>EDATE(Setup!B2,A131)</f>
        <v>50205</v>
      </c>
      <c r="C131" s="2" t="str">
        <f>IF(A131=0,"T0",IF(A131&lt;=Drivers!B19,"Preconstruction",IF(A131&lt;=(Drivers!B19+Drivers!B20),"Construction","Trading")))</f>
        <v>Trading</v>
      </c>
      <c r="D131" s="12">
        <f t="array" ref="D131">IF(AND(A131&gt;Drivers!B19,A131&lt;=(Drivers!B19+Drivers!B20)),SIN(PI()*(A131-Drivers!B19-0.5)/Drivers!B20)/SUMPRODUCT(SIN(PI()*(SEQUENCE(Drivers!B20,1)-0.5)/Drivers!B20)),0)</f>
        <v>0</v>
      </c>
      <c r="E131" s="14">
        <f>(Summary!B10+Summary!B12)*D131*(1+Drivers!B21)^(A131/12)</f>
        <v>0</v>
      </c>
      <c r="F131" s="14">
        <f>IF(AND(A131&gt;0,A131&lt;=Drivers!B19),Summary!B11*Drivers!B40/Drivers!B19*(1+Drivers!B21)^(A131/12),Summary!B11*(1-Drivers!B40 )*D131*(1+Drivers!B21)^(A131/12))</f>
        <v>0</v>
      </c>
      <c r="G131" s="14">
        <f>IF(AND(A131&gt;0,A131&lt;=2),Drivers!B16/2,0)</f>
        <v>0</v>
      </c>
      <c r="H131" s="14">
        <f>IF(A131=(Drivers!B19+Drivers!B20),Drivers!B17*(1+Drivers!B21)^(A131/12),0)</f>
        <v>0</v>
      </c>
      <c r="I131" s="14">
        <f>IF(AND(A131&gt;0,A131&lt;=(Drivers!B19+Drivers!B20)),Drivers!B18*(1+Drivers!B23)^(A131/12),0)</f>
        <v>0</v>
      </c>
      <c r="J131" s="14">
        <f t="shared" si="1"/>
        <v>0</v>
      </c>
      <c r="K131" s="12">
        <f>IF(A131&gt;(Drivers!B19+Drivers!B20),MIN(1,0.5+0.5*(A131-(Drivers!B19+Drivers!B20))/Drivers!B39),0)</f>
        <v>1</v>
      </c>
      <c r="L131" s="14">
        <f>Drivers!B2*(B131-B130)*Drivers!B24*(1+Drivers!B22)^(A131/12)*Drivers!B25*K131</f>
        <v>1275950.585</v>
      </c>
      <c r="M131" s="14">
        <f>L131*Drivers!B26</f>
        <v>255190.1171</v>
      </c>
      <c r="N131" s="14">
        <f>(L131+M131)*Drivers!B27</f>
        <v>535899.2458</v>
      </c>
      <c r="O131" s="14">
        <f>IF(A131&gt;(Drivers!B19+Drivers!B20),Drivers!B28/12*(1+Drivers!B23)^(A131/12),0)</f>
        <v>508144.3988</v>
      </c>
      <c r="P131" s="14">
        <f>(L131+M131)*Drivers!B29</f>
        <v>61245.62809</v>
      </c>
      <c r="Q131" s="14">
        <f>Drivers!B3*Drivers!B30*(1+Drivers!B22)^(A131/12)*Drivers!B31*(1-Drivers!B32 )*K131</f>
        <v>97182.61626</v>
      </c>
      <c r="R131" s="14">
        <f>IF(A131&gt;(Drivers!B19+Drivers!B20),Drivers!B33/12*(1+Drivers!B23)^(A131/12),0)</f>
        <v>76221.65981</v>
      </c>
      <c r="S131" s="14">
        <f t="shared" si="2"/>
        <v>446812.3861</v>
      </c>
      <c r="T131" s="14">
        <f t="shared" si="6"/>
        <v>15963111.02</v>
      </c>
      <c r="U131" s="14">
        <f>IF(AND(A131&gt;Drivers!B19,A131&lt;=(Drivers!B19+Drivers!B20)),Summary!B31*D131,0)</f>
        <v>0</v>
      </c>
      <c r="V131" s="14">
        <f>IF(A131&lt;=(Drivers!B19+Drivers!B20),(T131+U131/2)*Drivers!B36/12,T131*Drivers!B36/12)</f>
        <v>152979.8139</v>
      </c>
      <c r="W131" s="14">
        <f>IF(A131&gt;(Drivers!B19+Drivers!B20),MIN(T131,MAX(0,Summary!B32/12-V131)),0)</f>
        <v>105422.0405</v>
      </c>
      <c r="X131" s="14">
        <f>IF(A131=(Drivers!B19+1),Summary!B31*Drivers!B38,0)</f>
        <v>0</v>
      </c>
      <c r="Y131" s="14">
        <f t="shared" si="3"/>
        <v>15857688.98</v>
      </c>
      <c r="Z131" s="14">
        <f t="shared" si="4"/>
        <v>188410.5317</v>
      </c>
      <c r="AA131" s="14">
        <f t="shared" si="7"/>
        <v>-136359950.5</v>
      </c>
      <c r="AB131" s="14">
        <f t="shared" si="5"/>
        <v>446812.3861</v>
      </c>
      <c r="AC131" s="14">
        <f>(E131+F131+G131+H131)*Drivers!B45</f>
        <v>0</v>
      </c>
      <c r="AD131" s="14">
        <f>IF(A131&lt;=Summary!B18,AB131+IF(A131=Summary!B18,Summary!B40,0),0)</f>
        <v>446812.3861</v>
      </c>
      <c r="AE131" s="14">
        <f>IF(A131&lt;=Summary!B18,Z131+IF(A131=Summary!B18,Summary!B40-Y131,0),0)</f>
        <v>188410.5317</v>
      </c>
      <c r="AF131" s="14">
        <f>AD131-IF(A131=0,Drivers!B44,0)</f>
        <v>446812.3861</v>
      </c>
      <c r="AG131" s="14">
        <f t="shared" si="8"/>
        <v>-133759206</v>
      </c>
    </row>
    <row r="132">
      <c r="A132" s="2">
        <v>130.0</v>
      </c>
      <c r="B132" s="15">
        <f>EDATE(Setup!B2,A132)</f>
        <v>50235</v>
      </c>
      <c r="C132" s="2" t="str">
        <f>IF(A132=0,"T0",IF(A132&lt;=Drivers!B19,"Preconstruction",IF(A132&lt;=(Drivers!B19+Drivers!B20),"Construction","Trading")))</f>
        <v>Trading</v>
      </c>
      <c r="D132" s="12">
        <f t="array" ref="D132">IF(AND(A132&gt;Drivers!B19,A132&lt;=(Drivers!B19+Drivers!B20)),SIN(PI()*(A132-Drivers!B19-0.5)/Drivers!B20)/SUMPRODUCT(SIN(PI()*(SEQUENCE(Drivers!B20,1)-0.5)/Drivers!B20)),0)</f>
        <v>0</v>
      </c>
      <c r="E132" s="14">
        <f>(Summary!B10+Summary!B12)*D132*(1+Drivers!B21)^(A132/12)</f>
        <v>0</v>
      </c>
      <c r="F132" s="14">
        <f>IF(AND(A132&gt;0,A132&lt;=Drivers!B19),Summary!B11*Drivers!B40/Drivers!B19*(1+Drivers!B21)^(A132/12),Summary!B11*(1-Drivers!B40 )*D132*(1+Drivers!B21)^(A132/12))</f>
        <v>0</v>
      </c>
      <c r="G132" s="14">
        <f>IF(AND(A132&gt;0,A132&lt;=2),Drivers!B16/2,0)</f>
        <v>0</v>
      </c>
      <c r="H132" s="14">
        <f>IF(A132=(Drivers!B19+Drivers!B20),Drivers!B17*(1+Drivers!B21)^(A132/12),0)</f>
        <v>0</v>
      </c>
      <c r="I132" s="14">
        <f>IF(AND(A132&gt;0,A132&lt;=(Drivers!B19+Drivers!B20)),Drivers!B18*(1+Drivers!B23)^(A132/12),0)</f>
        <v>0</v>
      </c>
      <c r="J132" s="14">
        <f t="shared" si="1"/>
        <v>0</v>
      </c>
      <c r="K132" s="12">
        <f>IF(A132&gt;(Drivers!B19+Drivers!B20),MIN(1,0.5+0.5*(A132-(Drivers!B19+Drivers!B20))/Drivers!B39),0)</f>
        <v>1</v>
      </c>
      <c r="L132" s="14">
        <f>Drivers!B2*(B132-B131)*Drivers!B24*(1+Drivers!B22)^(A132/12)*Drivers!B25*K132</f>
        <v>1238833.273</v>
      </c>
      <c r="M132" s="14">
        <f>L132*Drivers!B26</f>
        <v>247766.6546</v>
      </c>
      <c r="N132" s="14">
        <f>(L132+M132)*Drivers!B27</f>
        <v>520309.9747</v>
      </c>
      <c r="O132" s="14">
        <f>IF(A132&gt;(Drivers!B19+Drivers!B20),Drivers!B28/12*(1+Drivers!B23)^(A132/12),0)</f>
        <v>509807.9313</v>
      </c>
      <c r="P132" s="14">
        <f>(L132+M132)*Drivers!B29</f>
        <v>59463.99711</v>
      </c>
      <c r="Q132" s="14">
        <f>Drivers!B3*Drivers!B30*(1+Drivers!B22)^(A132/12)*Drivers!B31*(1-Drivers!B32 )*K132</f>
        <v>97500.76686</v>
      </c>
      <c r="R132" s="14">
        <f>IF(A132&gt;(Drivers!B19+Drivers!B20),Drivers!B33/12*(1+Drivers!B23)^(A132/12),0)</f>
        <v>76471.18969</v>
      </c>
      <c r="S132" s="14">
        <f t="shared" si="2"/>
        <v>418047.6017</v>
      </c>
      <c r="T132" s="14">
        <f t="shared" si="6"/>
        <v>15857688.98</v>
      </c>
      <c r="U132" s="14">
        <f>IF(AND(A132&gt;Drivers!B19,A132&lt;=(Drivers!B19+Drivers!B20)),Summary!B31*D132,0)</f>
        <v>0</v>
      </c>
      <c r="V132" s="14">
        <f>IF(A132&lt;=(Drivers!B19+Drivers!B20),(T132+U132/2)*Drivers!B36/12,T132*Drivers!B36/12)</f>
        <v>151969.5194</v>
      </c>
      <c r="W132" s="14">
        <f>IF(A132&gt;(Drivers!B19+Drivers!B20),MIN(T132,MAX(0,Summary!B32/12-V132)),0)</f>
        <v>106432.3351</v>
      </c>
      <c r="X132" s="14">
        <f>IF(A132=(Drivers!B19+1),Summary!B31*Drivers!B38,0)</f>
        <v>0</v>
      </c>
      <c r="Y132" s="14">
        <f t="shared" si="3"/>
        <v>15751256.64</v>
      </c>
      <c r="Z132" s="14">
        <f t="shared" si="4"/>
        <v>159645.7473</v>
      </c>
      <c r="AA132" s="14">
        <f t="shared" si="7"/>
        <v>-136200304.8</v>
      </c>
      <c r="AB132" s="14">
        <f t="shared" si="5"/>
        <v>418047.6017</v>
      </c>
      <c r="AC132" s="14">
        <f>(E132+F132+G132+H132)*Drivers!B45</f>
        <v>0</v>
      </c>
      <c r="AD132" s="14">
        <f>IF(A132&lt;=Summary!B18,AB132+IF(A132=Summary!B18,Summary!B40,0),0)</f>
        <v>418047.6017</v>
      </c>
      <c r="AE132" s="14">
        <f>IF(A132&lt;=Summary!B18,Z132+IF(A132=Summary!B18,Summary!B40-Y132,0),0)</f>
        <v>159645.7473</v>
      </c>
      <c r="AF132" s="14">
        <f>AD132-IF(A132=0,Drivers!B44,0)</f>
        <v>418047.6017</v>
      </c>
      <c r="AG132" s="14">
        <f t="shared" si="8"/>
        <v>-133341158.4</v>
      </c>
    </row>
    <row r="133">
      <c r="A133" s="2">
        <v>131.0</v>
      </c>
      <c r="B133" s="15">
        <f>EDATE(Setup!B2,A133)</f>
        <v>50266</v>
      </c>
      <c r="C133" s="2" t="str">
        <f>IF(A133=0,"T0",IF(A133&lt;=Drivers!B19,"Preconstruction",IF(A133&lt;=(Drivers!B19+Drivers!B20),"Construction","Trading")))</f>
        <v>Trading</v>
      </c>
      <c r="D133" s="12">
        <f t="array" ref="D133">IF(AND(A133&gt;Drivers!B19,A133&lt;=(Drivers!B19+Drivers!B20)),SIN(PI()*(A133-Drivers!B19-0.5)/Drivers!B20)/SUMPRODUCT(SIN(PI()*(SEQUENCE(Drivers!B20,1)-0.5)/Drivers!B20)),0)</f>
        <v>0</v>
      </c>
      <c r="E133" s="14">
        <f>(Summary!B10+Summary!B12)*D133*(1+Drivers!B21)^(A133/12)</f>
        <v>0</v>
      </c>
      <c r="F133" s="14">
        <f>IF(AND(A133&gt;0,A133&lt;=Drivers!B19),Summary!B11*Drivers!B40/Drivers!B19*(1+Drivers!B21)^(A133/12),Summary!B11*(1-Drivers!B40 )*D133*(1+Drivers!B21)^(A133/12))</f>
        <v>0</v>
      </c>
      <c r="G133" s="14">
        <f>IF(AND(A133&gt;0,A133&lt;=2),Drivers!B16/2,0)</f>
        <v>0</v>
      </c>
      <c r="H133" s="14">
        <f>IF(A133=(Drivers!B19+Drivers!B20),Drivers!B17*(1+Drivers!B21)^(A133/12),0)</f>
        <v>0</v>
      </c>
      <c r="I133" s="14">
        <f>IF(AND(A133&gt;0,A133&lt;=(Drivers!B19+Drivers!B20)),Drivers!B18*(1+Drivers!B23)^(A133/12),0)</f>
        <v>0</v>
      </c>
      <c r="J133" s="14">
        <f t="shared" si="1"/>
        <v>0</v>
      </c>
      <c r="K133" s="12">
        <f>IF(A133&gt;(Drivers!B19+Drivers!B20),MIN(1,0.5+0.5*(A133-(Drivers!B19+Drivers!B20))/Drivers!B39),0)</f>
        <v>1</v>
      </c>
      <c r="L133" s="14">
        <f>Drivers!B2*(B133-B132)*Drivers!B24*(1+Drivers!B22)^(A133/12)*Drivers!B25*K133</f>
        <v>1284318.521</v>
      </c>
      <c r="M133" s="14">
        <f>L133*Drivers!B26</f>
        <v>256863.7041</v>
      </c>
      <c r="N133" s="14">
        <f>(L133+M133)*Drivers!B27</f>
        <v>539413.7786</v>
      </c>
      <c r="O133" s="14">
        <f>IF(A133&gt;(Drivers!B19+Drivers!B20),Drivers!B28/12*(1+Drivers!B23)^(A133/12),0)</f>
        <v>511476.9098</v>
      </c>
      <c r="P133" s="14">
        <f>(L133+M133)*Drivers!B29</f>
        <v>61647.28898</v>
      </c>
      <c r="Q133" s="14">
        <f>Drivers!B3*Drivers!B30*(1+Drivers!B22)^(A133/12)*Drivers!B31*(1-Drivers!B32 )*K133</f>
        <v>97819.959</v>
      </c>
      <c r="R133" s="14">
        <f>IF(A133&gt;(Drivers!B19+Drivers!B20),Drivers!B33/12*(1+Drivers!B23)^(A133/12),0)</f>
        <v>76721.53647</v>
      </c>
      <c r="S133" s="14">
        <f t="shared" si="2"/>
        <v>449742.6697</v>
      </c>
      <c r="T133" s="14">
        <f t="shared" si="6"/>
        <v>15751256.64</v>
      </c>
      <c r="U133" s="14">
        <f>IF(AND(A133&gt;Drivers!B19,A133&lt;=(Drivers!B19+Drivers!B20)),Summary!B31*D133,0)</f>
        <v>0</v>
      </c>
      <c r="V133" s="14">
        <f>IF(A133&lt;=(Drivers!B19+Drivers!B20),(T133+U133/2)*Drivers!B36/12,T133*Drivers!B36/12)</f>
        <v>150949.5428</v>
      </c>
      <c r="W133" s="14">
        <f>IF(A133&gt;(Drivers!B19+Drivers!B20),MIN(T133,MAX(0,Summary!B32/12-V133)),0)</f>
        <v>107452.3116</v>
      </c>
      <c r="X133" s="14">
        <f>IF(A133=(Drivers!B19+1),Summary!B31*Drivers!B38,0)</f>
        <v>0</v>
      </c>
      <c r="Y133" s="14">
        <f t="shared" si="3"/>
        <v>15643804.33</v>
      </c>
      <c r="Z133" s="14">
        <f t="shared" si="4"/>
        <v>191340.8153</v>
      </c>
      <c r="AA133" s="14">
        <f t="shared" si="7"/>
        <v>-136008963.9</v>
      </c>
      <c r="AB133" s="14">
        <f t="shared" si="5"/>
        <v>449742.6697</v>
      </c>
      <c r="AC133" s="14">
        <f>(E133+F133+G133+H133)*Drivers!B45</f>
        <v>0</v>
      </c>
      <c r="AD133" s="14">
        <f>IF(A133&lt;=Summary!B18,AB133+IF(A133=Summary!B18,Summary!B40,0),0)</f>
        <v>449742.6697</v>
      </c>
      <c r="AE133" s="14">
        <f>IF(A133&lt;=Summary!B18,Z133+IF(A133=Summary!B18,Summary!B40-Y133,0),0)</f>
        <v>191340.8153</v>
      </c>
      <c r="AF133" s="14">
        <f>AD133-IF(A133=0,Drivers!B44,0)</f>
        <v>449742.6697</v>
      </c>
      <c r="AG133" s="14">
        <f t="shared" si="8"/>
        <v>-132891415.7</v>
      </c>
    </row>
    <row r="134">
      <c r="A134" s="2">
        <v>132.0</v>
      </c>
      <c r="B134" s="15">
        <f>EDATE(Setup!B2,A134)</f>
        <v>50297</v>
      </c>
      <c r="C134" s="2" t="str">
        <f>IF(A134=0,"T0",IF(A134&lt;=Drivers!B19,"Preconstruction",IF(A134&lt;=(Drivers!B19+Drivers!B20),"Construction","Trading")))</f>
        <v>Trading</v>
      </c>
      <c r="D134" s="12">
        <f t="array" ref="D134">IF(AND(A134&gt;Drivers!B19,A134&lt;=(Drivers!B19+Drivers!B20)),SIN(PI()*(A134-Drivers!B19-0.5)/Drivers!B20)/SUMPRODUCT(SIN(PI()*(SEQUENCE(Drivers!B20,1)-0.5)/Drivers!B20)),0)</f>
        <v>0</v>
      </c>
      <c r="E134" s="14">
        <f>(Summary!B10+Summary!B12)*D134*(1+Drivers!B21)^(A134/12)</f>
        <v>0</v>
      </c>
      <c r="F134" s="14">
        <f>IF(AND(A134&gt;0,A134&lt;=Drivers!B19),Summary!B11*Drivers!B40/Drivers!B19*(1+Drivers!B21)^(A134/12),Summary!B11*(1-Drivers!B40 )*D134*(1+Drivers!B21)^(A134/12))</f>
        <v>0</v>
      </c>
      <c r="G134" s="14">
        <f>IF(AND(A134&gt;0,A134&lt;=2),Drivers!B16/2,0)</f>
        <v>0</v>
      </c>
      <c r="H134" s="14">
        <f>IF(A134=(Drivers!B19+Drivers!B20),Drivers!B17*(1+Drivers!B21)^(A134/12),0)</f>
        <v>0</v>
      </c>
      <c r="I134" s="14">
        <f>IF(AND(A134&gt;0,A134&lt;=(Drivers!B19+Drivers!B20)),Drivers!B18*(1+Drivers!B23)^(A134/12),0)</f>
        <v>0</v>
      </c>
      <c r="J134" s="14">
        <f t="shared" si="1"/>
        <v>0</v>
      </c>
      <c r="K134" s="12">
        <f>IF(A134&gt;(Drivers!B19+Drivers!B20),MIN(1,0.5+0.5*(A134-(Drivers!B19+Drivers!B20))/Drivers!B39),0)</f>
        <v>1</v>
      </c>
      <c r="L134" s="14">
        <f>Drivers!B2*(B134-B133)*Drivers!B24*(1+Drivers!B22)^(A134/12)*Drivers!B25*K134</f>
        <v>1288523.045</v>
      </c>
      <c r="M134" s="14">
        <f>L134*Drivers!B26</f>
        <v>257704.609</v>
      </c>
      <c r="N134" s="14">
        <f>(L134+M134)*Drivers!B27</f>
        <v>541179.679</v>
      </c>
      <c r="O134" s="14">
        <f>IF(A134&gt;(Drivers!B19+Drivers!B20),Drivers!B28/12*(1+Drivers!B23)^(A134/12),0)</f>
        <v>513151.3521</v>
      </c>
      <c r="P134" s="14">
        <f>(L134+M134)*Drivers!B29</f>
        <v>61849.10617</v>
      </c>
      <c r="Q134" s="14">
        <f>Drivers!B3*Drivers!B30*(1+Drivers!B22)^(A134/12)*Drivers!B31*(1-Drivers!B32 )*K134</f>
        <v>98140.19609</v>
      </c>
      <c r="R134" s="14">
        <f>IF(A134&gt;(Drivers!B19+Drivers!B20),Drivers!B33/12*(1+Drivers!B23)^(A134/12),0)</f>
        <v>76972.70282</v>
      </c>
      <c r="S134" s="14">
        <f t="shared" si="2"/>
        <v>451215.0102</v>
      </c>
      <c r="T134" s="14">
        <f t="shared" si="6"/>
        <v>15643804.33</v>
      </c>
      <c r="U134" s="14">
        <f>IF(AND(A134&gt;Drivers!B19,A134&lt;=(Drivers!B19+Drivers!B20)),Summary!B31*D134,0)</f>
        <v>0</v>
      </c>
      <c r="V134" s="14">
        <f>IF(A134&lt;=(Drivers!B19+Drivers!B20),(T134+U134/2)*Drivers!B36/12,T134*Drivers!B36/12)</f>
        <v>149919.7915</v>
      </c>
      <c r="W134" s="14">
        <f>IF(A134&gt;(Drivers!B19+Drivers!B20),MIN(T134,MAX(0,Summary!B32/12-V134)),0)</f>
        <v>108482.0629</v>
      </c>
      <c r="X134" s="14">
        <f>IF(A134=(Drivers!B19+1),Summary!B31*Drivers!B38,0)</f>
        <v>0</v>
      </c>
      <c r="Y134" s="14">
        <f t="shared" si="3"/>
        <v>15535322.27</v>
      </c>
      <c r="Z134" s="14">
        <f t="shared" si="4"/>
        <v>192813.1558</v>
      </c>
      <c r="AA134" s="14">
        <f t="shared" si="7"/>
        <v>-135816150.8</v>
      </c>
      <c r="AB134" s="14">
        <f t="shared" si="5"/>
        <v>451215.0102</v>
      </c>
      <c r="AC134" s="14">
        <f>(E134+F134+G134+H134)*Drivers!B45</f>
        <v>0</v>
      </c>
      <c r="AD134" s="14">
        <f>IF(A134&lt;=Summary!B18,AB134+IF(A134=Summary!B18,Summary!B40,0),0)</f>
        <v>451215.0102</v>
      </c>
      <c r="AE134" s="14">
        <f>IF(A134&lt;=Summary!B18,Z134+IF(A134=Summary!B18,Summary!B40-Y134,0),0)</f>
        <v>192813.1558</v>
      </c>
      <c r="AF134" s="14">
        <f>AD134-IF(A134=0,Drivers!B44,0)</f>
        <v>451215.0102</v>
      </c>
      <c r="AG134" s="14">
        <f t="shared" si="8"/>
        <v>-132440200.7</v>
      </c>
    </row>
    <row r="135">
      <c r="A135" s="2">
        <v>133.0</v>
      </c>
      <c r="B135" s="15">
        <f>EDATE(Setup!B2,A135)</f>
        <v>50327</v>
      </c>
      <c r="C135" s="2" t="str">
        <f>IF(A135=0,"T0",IF(A135&lt;=Drivers!B19,"Preconstruction",IF(A135&lt;=(Drivers!B19+Drivers!B20),"Construction","Trading")))</f>
        <v>Trading</v>
      </c>
      <c r="D135" s="12">
        <f t="array" ref="D135">IF(AND(A135&gt;Drivers!B19,A135&lt;=(Drivers!B19+Drivers!B20)),SIN(PI()*(A135-Drivers!B19-0.5)/Drivers!B20)/SUMPRODUCT(SIN(PI()*(SEQUENCE(Drivers!B20,1)-0.5)/Drivers!B20)),0)</f>
        <v>0</v>
      </c>
      <c r="E135" s="14">
        <f>(Summary!B10+Summary!B12)*D135*(1+Drivers!B21)^(A135/12)</f>
        <v>0</v>
      </c>
      <c r="F135" s="14">
        <f>IF(AND(A135&gt;0,A135&lt;=Drivers!B19),Summary!B11*Drivers!B40/Drivers!B19*(1+Drivers!B21)^(A135/12),Summary!B11*(1-Drivers!B40 )*D135*(1+Drivers!B21)^(A135/12))</f>
        <v>0</v>
      </c>
      <c r="G135" s="14">
        <f>IF(AND(A135&gt;0,A135&lt;=2),Drivers!B16/2,0)</f>
        <v>0</v>
      </c>
      <c r="H135" s="14">
        <f>IF(A135=(Drivers!B19+Drivers!B20),Drivers!B17*(1+Drivers!B21)^(A135/12),0)</f>
        <v>0</v>
      </c>
      <c r="I135" s="14">
        <f>IF(AND(A135&gt;0,A135&lt;=(Drivers!B19+Drivers!B20)),Drivers!B18*(1+Drivers!B23)^(A135/12),0)</f>
        <v>0</v>
      </c>
      <c r="J135" s="14">
        <f t="shared" si="1"/>
        <v>0</v>
      </c>
      <c r="K135" s="12">
        <f>IF(A135&gt;(Drivers!B19+Drivers!B20),MIN(1,0.5+0.5*(A135-(Drivers!B19+Drivers!B20))/Drivers!B39),0)</f>
        <v>1</v>
      </c>
      <c r="L135" s="14">
        <f>Drivers!B2*(B135-B134)*Drivers!B24*(1+Drivers!B22)^(A135/12)*Drivers!B25*K135</f>
        <v>1251040.001</v>
      </c>
      <c r="M135" s="14">
        <f>L135*Drivers!B26</f>
        <v>250208.0002</v>
      </c>
      <c r="N135" s="14">
        <f>(L135+M135)*Drivers!B27</f>
        <v>525436.8004</v>
      </c>
      <c r="O135" s="14">
        <f>IF(A135&gt;(Drivers!B19+Drivers!B20),Drivers!B28/12*(1+Drivers!B23)^(A135/12),0)</f>
        <v>514831.2761</v>
      </c>
      <c r="P135" s="14">
        <f>(L135+M135)*Drivers!B29</f>
        <v>60049.92004</v>
      </c>
      <c r="Q135" s="14">
        <f>Drivers!B3*Drivers!B30*(1+Drivers!B22)^(A135/12)*Drivers!B31*(1-Drivers!B32 )*K135</f>
        <v>98461.48155</v>
      </c>
      <c r="R135" s="14">
        <f>IF(A135&gt;(Drivers!B19+Drivers!B20),Drivers!B33/12*(1+Drivers!B23)^(A135/12),0)</f>
        <v>77224.69142</v>
      </c>
      <c r="S135" s="14">
        <f t="shared" si="2"/>
        <v>422166.7947</v>
      </c>
      <c r="T135" s="14">
        <f t="shared" si="6"/>
        <v>15535322.27</v>
      </c>
      <c r="U135" s="14">
        <f>IF(AND(A135&gt;Drivers!B19,A135&lt;=(Drivers!B19+Drivers!B20)),Summary!B31*D135,0)</f>
        <v>0</v>
      </c>
      <c r="V135" s="14">
        <f>IF(A135&lt;=(Drivers!B19+Drivers!B20),(T135+U135/2)*Drivers!B36/12,T135*Drivers!B36/12)</f>
        <v>148880.1717</v>
      </c>
      <c r="W135" s="14">
        <f>IF(A135&gt;(Drivers!B19+Drivers!B20),MIN(T135,MAX(0,Summary!B32/12-V135)),0)</f>
        <v>109521.6827</v>
      </c>
      <c r="X135" s="14">
        <f>IF(A135=(Drivers!B19+1),Summary!B31*Drivers!B38,0)</f>
        <v>0</v>
      </c>
      <c r="Y135" s="14">
        <f t="shared" si="3"/>
        <v>15425800.58</v>
      </c>
      <c r="Z135" s="14">
        <f t="shared" si="4"/>
        <v>163764.9403</v>
      </c>
      <c r="AA135" s="14">
        <f t="shared" si="7"/>
        <v>-135652385.9</v>
      </c>
      <c r="AB135" s="14">
        <f t="shared" si="5"/>
        <v>422166.7947</v>
      </c>
      <c r="AC135" s="14">
        <f>(E135+F135+G135+H135)*Drivers!B45</f>
        <v>0</v>
      </c>
      <c r="AD135" s="14">
        <f>IF(A135&lt;=Summary!B18,AB135+IF(A135=Summary!B18,Summary!B40,0),0)</f>
        <v>422166.7947</v>
      </c>
      <c r="AE135" s="14">
        <f>IF(A135&lt;=Summary!B18,Z135+IF(A135=Summary!B18,Summary!B40-Y135,0),0)</f>
        <v>163764.9403</v>
      </c>
      <c r="AF135" s="14">
        <f>AD135-IF(A135=0,Drivers!B44,0)</f>
        <v>422166.7947</v>
      </c>
      <c r="AG135" s="14">
        <f t="shared" si="8"/>
        <v>-132018033.9</v>
      </c>
    </row>
    <row r="136">
      <c r="A136" s="2">
        <v>134.0</v>
      </c>
      <c r="B136" s="15">
        <f>EDATE(Setup!B2,A136)</f>
        <v>50358</v>
      </c>
      <c r="C136" s="2" t="str">
        <f>IF(A136=0,"T0",IF(A136&lt;=Drivers!B19,"Preconstruction",IF(A136&lt;=(Drivers!B19+Drivers!B20),"Construction","Trading")))</f>
        <v>Trading</v>
      </c>
      <c r="D136" s="12">
        <f t="array" ref="D136">IF(AND(A136&gt;Drivers!B19,A136&lt;=(Drivers!B19+Drivers!B20)),SIN(PI()*(A136-Drivers!B19-0.5)/Drivers!B20)/SUMPRODUCT(SIN(PI()*(SEQUENCE(Drivers!B20,1)-0.5)/Drivers!B20)),0)</f>
        <v>0</v>
      </c>
      <c r="E136" s="14">
        <f>(Summary!B10+Summary!B12)*D136*(1+Drivers!B21)^(A136/12)</f>
        <v>0</v>
      </c>
      <c r="F136" s="14">
        <f>IF(AND(A136&gt;0,A136&lt;=Drivers!B19),Summary!B11*Drivers!B40/Drivers!B19*(1+Drivers!B21)^(A136/12),Summary!B11*(1-Drivers!B40 )*D136*(1+Drivers!B21)^(A136/12))</f>
        <v>0</v>
      </c>
      <c r="G136" s="14">
        <f>IF(AND(A136&gt;0,A136&lt;=2),Drivers!B16/2,0)</f>
        <v>0</v>
      </c>
      <c r="H136" s="14">
        <f>IF(A136=(Drivers!B19+Drivers!B20),Drivers!B17*(1+Drivers!B21)^(A136/12),0)</f>
        <v>0</v>
      </c>
      <c r="I136" s="14">
        <f>IF(AND(A136&gt;0,A136&lt;=(Drivers!B19+Drivers!B20)),Drivers!B18*(1+Drivers!B23)^(A136/12),0)</f>
        <v>0</v>
      </c>
      <c r="J136" s="14">
        <f t="shared" si="1"/>
        <v>0</v>
      </c>
      <c r="K136" s="12">
        <f>IF(A136&gt;(Drivers!B19+Drivers!B20),MIN(1,0.5+0.5*(A136-(Drivers!B19+Drivers!B20))/Drivers!B39),0)</f>
        <v>1</v>
      </c>
      <c r="L136" s="14">
        <f>Drivers!B2*(B136-B135)*Drivers!B24*(1+Drivers!B22)^(A136/12)*Drivers!B25*K136</f>
        <v>1296973.433</v>
      </c>
      <c r="M136" s="14">
        <f>L136*Drivers!B26</f>
        <v>259394.6866</v>
      </c>
      <c r="N136" s="14">
        <f>(L136+M136)*Drivers!B27</f>
        <v>544728.8419</v>
      </c>
      <c r="O136" s="14">
        <f>IF(A136&gt;(Drivers!B19+Drivers!B20),Drivers!B28/12*(1+Drivers!B23)^(A136/12),0)</f>
        <v>516516.6997</v>
      </c>
      <c r="P136" s="14">
        <f>(L136+M136)*Drivers!B29</f>
        <v>62254.72479</v>
      </c>
      <c r="Q136" s="14">
        <f>Drivers!B3*Drivers!B30*(1+Drivers!B22)^(A136/12)*Drivers!B31*(1-Drivers!B32 )*K136</f>
        <v>98783.81882</v>
      </c>
      <c r="R136" s="14">
        <f>IF(A136&gt;(Drivers!B19+Drivers!B20),Drivers!B33/12*(1+Drivers!B23)^(A136/12),0)</f>
        <v>77477.50496</v>
      </c>
      <c r="S136" s="14">
        <f t="shared" si="2"/>
        <v>454174.1671</v>
      </c>
      <c r="T136" s="14">
        <f t="shared" si="6"/>
        <v>15425800.58</v>
      </c>
      <c r="U136" s="14">
        <f>IF(AND(A136&gt;Drivers!B19,A136&lt;=(Drivers!B19+Drivers!B20)),Summary!B31*D136,0)</f>
        <v>0</v>
      </c>
      <c r="V136" s="14">
        <f>IF(A136&lt;=(Drivers!B19+Drivers!B20),(T136+U136/2)*Drivers!B36/12,T136*Drivers!B36/12)</f>
        <v>147830.5889</v>
      </c>
      <c r="W136" s="14">
        <f>IF(A136&gt;(Drivers!B19+Drivers!B20),MIN(T136,MAX(0,Summary!B32/12-V136)),0)</f>
        <v>110571.2655</v>
      </c>
      <c r="X136" s="14">
        <f>IF(A136=(Drivers!B19+1),Summary!B31*Drivers!B38,0)</f>
        <v>0</v>
      </c>
      <c r="Y136" s="14">
        <f t="shared" si="3"/>
        <v>15315229.32</v>
      </c>
      <c r="Z136" s="14">
        <f t="shared" si="4"/>
        <v>195772.3127</v>
      </c>
      <c r="AA136" s="14">
        <f t="shared" si="7"/>
        <v>-135456613.5</v>
      </c>
      <c r="AB136" s="14">
        <f t="shared" si="5"/>
        <v>454174.1671</v>
      </c>
      <c r="AC136" s="14">
        <f>(E136+F136+G136+H136)*Drivers!B45</f>
        <v>0</v>
      </c>
      <c r="AD136" s="14">
        <f>IF(A136&lt;=Summary!B18,AB136+IF(A136=Summary!B18,Summary!B40,0),0)</f>
        <v>454174.1671</v>
      </c>
      <c r="AE136" s="14">
        <f>IF(A136&lt;=Summary!B18,Z136+IF(A136=Summary!B18,Summary!B40-Y136,0),0)</f>
        <v>195772.3127</v>
      </c>
      <c r="AF136" s="14">
        <f>AD136-IF(A136=0,Drivers!B44,0)</f>
        <v>454174.1671</v>
      </c>
      <c r="AG136" s="14">
        <f t="shared" si="8"/>
        <v>-131563859.7</v>
      </c>
    </row>
    <row r="137">
      <c r="A137" s="2">
        <v>135.0</v>
      </c>
      <c r="B137" s="15">
        <f>EDATE(Setup!B2,A137)</f>
        <v>50388</v>
      </c>
      <c r="C137" s="2" t="str">
        <f>IF(A137=0,"T0",IF(A137&lt;=Drivers!B19,"Preconstruction",IF(A137&lt;=(Drivers!B19+Drivers!B20),"Construction","Trading")))</f>
        <v>Trading</v>
      </c>
      <c r="D137" s="12">
        <f t="array" ref="D137">IF(AND(A137&gt;Drivers!B19,A137&lt;=(Drivers!B19+Drivers!B20)),SIN(PI()*(A137-Drivers!B19-0.5)/Drivers!B20)/SUMPRODUCT(SIN(PI()*(SEQUENCE(Drivers!B20,1)-0.5)/Drivers!B20)),0)</f>
        <v>0</v>
      </c>
      <c r="E137" s="14">
        <f>(Summary!B10+Summary!B12)*D137*(1+Drivers!B21)^(A137/12)</f>
        <v>0</v>
      </c>
      <c r="F137" s="14">
        <f>IF(AND(A137&gt;0,A137&lt;=Drivers!B19),Summary!B11*Drivers!B40/Drivers!B19*(1+Drivers!B21)^(A137/12),Summary!B11*(1-Drivers!B40 )*D137*(1+Drivers!B21)^(A137/12))</f>
        <v>0</v>
      </c>
      <c r="G137" s="14">
        <f>IF(AND(A137&gt;0,A137&lt;=2),Drivers!B16/2,0)</f>
        <v>0</v>
      </c>
      <c r="H137" s="14">
        <f>IF(A137=(Drivers!B19+Drivers!B20),Drivers!B17*(1+Drivers!B21)^(A137/12),0)</f>
        <v>0</v>
      </c>
      <c r="I137" s="14">
        <f>IF(AND(A137&gt;0,A137&lt;=(Drivers!B19+Drivers!B20)),Drivers!B18*(1+Drivers!B23)^(A137/12),0)</f>
        <v>0</v>
      </c>
      <c r="J137" s="14">
        <f t="shared" si="1"/>
        <v>0</v>
      </c>
      <c r="K137" s="12">
        <f>IF(A137&gt;(Drivers!B19+Drivers!B20),MIN(1,0.5+0.5*(A137-(Drivers!B19+Drivers!B20))/Drivers!B39),0)</f>
        <v>1</v>
      </c>
      <c r="L137" s="14">
        <f>Drivers!B2*(B137-B136)*Drivers!B24*(1+Drivers!B22)^(A137/12)*Drivers!B25*K137</f>
        <v>1259244.568</v>
      </c>
      <c r="M137" s="14">
        <f>L137*Drivers!B26</f>
        <v>251848.9135</v>
      </c>
      <c r="N137" s="14">
        <f>(L137+M137)*Drivers!B27</f>
        <v>528882.7184</v>
      </c>
      <c r="O137" s="14">
        <f>IF(A137&gt;(Drivers!B19+Drivers!B20),Drivers!B28/12*(1+Drivers!B23)^(A137/12),0)</f>
        <v>518207.641</v>
      </c>
      <c r="P137" s="14">
        <f>(L137+M137)*Drivers!B29</f>
        <v>60443.73925</v>
      </c>
      <c r="Q137" s="14">
        <f>Drivers!B3*Drivers!B30*(1+Drivers!B22)^(A137/12)*Drivers!B31*(1-Drivers!B32 )*K137</f>
        <v>99107.21134</v>
      </c>
      <c r="R137" s="14">
        <f>IF(A137&gt;(Drivers!B19+Drivers!B20),Drivers!B33/12*(1+Drivers!B23)^(A137/12),0)</f>
        <v>77731.14615</v>
      </c>
      <c r="S137" s="14">
        <f t="shared" si="2"/>
        <v>424935.4477</v>
      </c>
      <c r="T137" s="14">
        <f t="shared" si="6"/>
        <v>15315229.32</v>
      </c>
      <c r="U137" s="14">
        <f>IF(AND(A137&gt;Drivers!B19,A137&lt;=(Drivers!B19+Drivers!B20)),Summary!B31*D137,0)</f>
        <v>0</v>
      </c>
      <c r="V137" s="14">
        <f>IF(A137&lt;=(Drivers!B19+Drivers!B20),(T137+U137/2)*Drivers!B36/12,T137*Drivers!B36/12)</f>
        <v>146770.9476</v>
      </c>
      <c r="W137" s="14">
        <f>IF(A137&gt;(Drivers!B19+Drivers!B20),MIN(T137,MAX(0,Summary!B32/12-V137)),0)</f>
        <v>111630.9068</v>
      </c>
      <c r="X137" s="14">
        <f>IF(A137=(Drivers!B19+1),Summary!B31*Drivers!B38,0)</f>
        <v>0</v>
      </c>
      <c r="Y137" s="14">
        <f t="shared" si="3"/>
        <v>15203598.41</v>
      </c>
      <c r="Z137" s="14">
        <f t="shared" si="4"/>
        <v>166533.5933</v>
      </c>
      <c r="AA137" s="14">
        <f t="shared" si="7"/>
        <v>-135290079.9</v>
      </c>
      <c r="AB137" s="14">
        <f t="shared" si="5"/>
        <v>424935.4477</v>
      </c>
      <c r="AC137" s="14">
        <f>(E137+F137+G137+H137)*Drivers!B45</f>
        <v>0</v>
      </c>
      <c r="AD137" s="14">
        <f>IF(A137&lt;=Summary!B18,AB137+IF(A137=Summary!B18,Summary!B40,0),0)</f>
        <v>424935.4477</v>
      </c>
      <c r="AE137" s="14">
        <f>IF(A137&lt;=Summary!B18,Z137+IF(A137=Summary!B18,Summary!B40-Y137,0),0)</f>
        <v>166533.5933</v>
      </c>
      <c r="AF137" s="14">
        <f>AD137-IF(A137=0,Drivers!B44,0)</f>
        <v>424935.4477</v>
      </c>
      <c r="AG137" s="14">
        <f t="shared" si="8"/>
        <v>-131138924.3</v>
      </c>
    </row>
    <row r="138">
      <c r="A138" s="2">
        <v>136.0</v>
      </c>
      <c r="B138" s="15">
        <f>EDATE(Setup!B2,A138)</f>
        <v>50419</v>
      </c>
      <c r="C138" s="2" t="str">
        <f>IF(A138=0,"T0",IF(A138&lt;=Drivers!B19,"Preconstruction",IF(A138&lt;=(Drivers!B19+Drivers!B20),"Construction","Trading")))</f>
        <v>Trading</v>
      </c>
      <c r="D138" s="12">
        <f t="array" ref="D138">IF(AND(A138&gt;Drivers!B19,A138&lt;=(Drivers!B19+Drivers!B20)),SIN(PI()*(A138-Drivers!B19-0.5)/Drivers!B20)/SUMPRODUCT(SIN(PI()*(SEQUENCE(Drivers!B20,1)-0.5)/Drivers!B20)),0)</f>
        <v>0</v>
      </c>
      <c r="E138" s="14">
        <f>(Summary!B10+Summary!B12)*D138*(1+Drivers!B21)^(A138/12)</f>
        <v>0</v>
      </c>
      <c r="F138" s="14">
        <f>IF(AND(A138&gt;0,A138&lt;=Drivers!B19),Summary!B11*Drivers!B40/Drivers!B19*(1+Drivers!B21)^(A138/12),Summary!B11*(1-Drivers!B40 )*D138*(1+Drivers!B21)^(A138/12))</f>
        <v>0</v>
      </c>
      <c r="G138" s="14">
        <f>IF(AND(A138&gt;0,A138&lt;=2),Drivers!B16/2,0)</f>
        <v>0</v>
      </c>
      <c r="H138" s="14">
        <f>IF(A138=(Drivers!B19+Drivers!B20),Drivers!B17*(1+Drivers!B21)^(A138/12),0)</f>
        <v>0</v>
      </c>
      <c r="I138" s="14">
        <f>IF(AND(A138&gt;0,A138&lt;=(Drivers!B19+Drivers!B20)),Drivers!B18*(1+Drivers!B23)^(A138/12),0)</f>
        <v>0</v>
      </c>
      <c r="J138" s="14">
        <f t="shared" si="1"/>
        <v>0</v>
      </c>
      <c r="K138" s="12">
        <f>IF(A138&gt;(Drivers!B19+Drivers!B20),MIN(1,0.5+0.5*(A138-(Drivers!B19+Drivers!B20))/Drivers!B39),0)</f>
        <v>1</v>
      </c>
      <c r="L138" s="14">
        <f>Drivers!B2*(B138-B137)*Drivers!B24*(1+Drivers!B22)^(A138/12)*Drivers!B25*K138</f>
        <v>1305479.24</v>
      </c>
      <c r="M138" s="14">
        <f>L138*Drivers!B26</f>
        <v>261095.848</v>
      </c>
      <c r="N138" s="14">
        <f>(L138+M138)*Drivers!B27</f>
        <v>548301.2809</v>
      </c>
      <c r="O138" s="14">
        <f>IF(A138&gt;(Drivers!B19+Drivers!B20),Drivers!B28/12*(1+Drivers!B23)^(A138/12),0)</f>
        <v>519904.118</v>
      </c>
      <c r="P138" s="14">
        <f>(L138+M138)*Drivers!B29</f>
        <v>62663.00353</v>
      </c>
      <c r="Q138" s="14">
        <f>Drivers!B3*Drivers!B30*(1+Drivers!B22)^(A138/12)*Drivers!B31*(1-Drivers!B32 )*K138</f>
        <v>99431.66256</v>
      </c>
      <c r="R138" s="14">
        <f>IF(A138&gt;(Drivers!B19+Drivers!B20),Drivers!B33/12*(1+Drivers!B23)^(A138/12),0)</f>
        <v>77985.6177</v>
      </c>
      <c r="S138" s="14">
        <f t="shared" si="2"/>
        <v>457152.7307</v>
      </c>
      <c r="T138" s="14">
        <f t="shared" si="6"/>
        <v>15203598.41</v>
      </c>
      <c r="U138" s="14">
        <f>IF(AND(A138&gt;Drivers!B19,A138&lt;=(Drivers!B19+Drivers!B20)),Summary!B31*D138,0)</f>
        <v>0</v>
      </c>
      <c r="V138" s="14">
        <f>IF(A138&lt;=(Drivers!B19+Drivers!B20),(T138+U138/2)*Drivers!B36/12,T138*Drivers!B36/12)</f>
        <v>145701.1514</v>
      </c>
      <c r="W138" s="14">
        <f>IF(A138&gt;(Drivers!B19+Drivers!B20),MIN(T138,MAX(0,Summary!B32/12-V138)),0)</f>
        <v>112700.703</v>
      </c>
      <c r="X138" s="14">
        <f>IF(A138=(Drivers!B19+1),Summary!B31*Drivers!B38,0)</f>
        <v>0</v>
      </c>
      <c r="Y138" s="14">
        <f t="shared" si="3"/>
        <v>15090897.71</v>
      </c>
      <c r="Z138" s="14">
        <f t="shared" si="4"/>
        <v>198750.8763</v>
      </c>
      <c r="AA138" s="14">
        <f t="shared" si="7"/>
        <v>-135091329.1</v>
      </c>
      <c r="AB138" s="14">
        <f t="shared" si="5"/>
        <v>457152.7307</v>
      </c>
      <c r="AC138" s="14">
        <f>(E138+F138+G138+H138)*Drivers!B45</f>
        <v>0</v>
      </c>
      <c r="AD138" s="14">
        <f>IF(A138&lt;=Summary!B18,AB138+IF(A138=Summary!B18,Summary!B40,0),0)</f>
        <v>457152.7307</v>
      </c>
      <c r="AE138" s="14">
        <f>IF(A138&lt;=Summary!B18,Z138+IF(A138=Summary!B18,Summary!B40-Y138,0),0)</f>
        <v>198750.8763</v>
      </c>
      <c r="AF138" s="14">
        <f>AD138-IF(A138=0,Drivers!B44,0)</f>
        <v>457152.7307</v>
      </c>
      <c r="AG138" s="14">
        <f t="shared" si="8"/>
        <v>-130681771.5</v>
      </c>
    </row>
    <row r="139">
      <c r="A139" s="2">
        <v>137.0</v>
      </c>
      <c r="B139" s="15">
        <f>EDATE(Setup!B2,A139)</f>
        <v>50450</v>
      </c>
      <c r="C139" s="2" t="str">
        <f>IF(A139=0,"T0",IF(A139&lt;=Drivers!B19,"Preconstruction",IF(A139&lt;=(Drivers!B19+Drivers!B20),"Construction","Trading")))</f>
        <v>Trading</v>
      </c>
      <c r="D139" s="12">
        <f t="array" ref="D139">IF(AND(A139&gt;Drivers!B19,A139&lt;=(Drivers!B19+Drivers!B20)),SIN(PI()*(A139-Drivers!B19-0.5)/Drivers!B20)/SUMPRODUCT(SIN(PI()*(SEQUENCE(Drivers!B20,1)-0.5)/Drivers!B20)),0)</f>
        <v>0</v>
      </c>
      <c r="E139" s="14">
        <f>(Summary!B10+Summary!B12)*D139*(1+Drivers!B21)^(A139/12)</f>
        <v>0</v>
      </c>
      <c r="F139" s="14">
        <f>IF(AND(A139&gt;0,A139&lt;=Drivers!B19),Summary!B11*Drivers!B40/Drivers!B19*(1+Drivers!B21)^(A139/12),Summary!B11*(1-Drivers!B40 )*D139*(1+Drivers!B21)^(A139/12))</f>
        <v>0</v>
      </c>
      <c r="G139" s="14">
        <f>IF(AND(A139&gt;0,A139&lt;=2),Drivers!B16/2,0)</f>
        <v>0</v>
      </c>
      <c r="H139" s="14">
        <f>IF(A139=(Drivers!B19+Drivers!B20),Drivers!B17*(1+Drivers!B21)^(A139/12),0)</f>
        <v>0</v>
      </c>
      <c r="I139" s="14">
        <f>IF(AND(A139&gt;0,A139&lt;=(Drivers!B19+Drivers!B20)),Drivers!B18*(1+Drivers!B23)^(A139/12),0)</f>
        <v>0</v>
      </c>
      <c r="J139" s="14">
        <f t="shared" si="1"/>
        <v>0</v>
      </c>
      <c r="K139" s="12">
        <f>IF(A139&gt;(Drivers!B19+Drivers!B20),MIN(1,0.5+0.5*(A139-(Drivers!B19+Drivers!B20))/Drivers!B39),0)</f>
        <v>1</v>
      </c>
      <c r="L139" s="14">
        <f>Drivers!B2*(B139-B138)*Drivers!B24*(1+Drivers!B22)^(A139/12)*Drivers!B25*K139</f>
        <v>1309753.04</v>
      </c>
      <c r="M139" s="14">
        <f>L139*Drivers!B26</f>
        <v>261950.6079</v>
      </c>
      <c r="N139" s="14">
        <f>(L139+M139)*Drivers!B27</f>
        <v>550096.2766</v>
      </c>
      <c r="O139" s="14">
        <f>IF(A139&gt;(Drivers!B19+Drivers!B20),Drivers!B28/12*(1+Drivers!B23)^(A139/12),0)</f>
        <v>521606.1488</v>
      </c>
      <c r="P139" s="14">
        <f>(L139+M139)*Drivers!B29</f>
        <v>62868.1459</v>
      </c>
      <c r="Q139" s="14">
        <f>Drivers!B3*Drivers!B30*(1+Drivers!B22)^(A139/12)*Drivers!B31*(1-Drivers!B32 )*K139</f>
        <v>99757.17595</v>
      </c>
      <c r="R139" s="14">
        <f>IF(A139&gt;(Drivers!B19+Drivers!B20),Drivers!B33/12*(1+Drivers!B23)^(A139/12),0)</f>
        <v>78240.92231</v>
      </c>
      <c r="S139" s="14">
        <f t="shared" si="2"/>
        <v>458649.3298</v>
      </c>
      <c r="T139" s="14">
        <f t="shared" si="6"/>
        <v>15090897.71</v>
      </c>
      <c r="U139" s="14">
        <f>IF(AND(A139&gt;Drivers!B19,A139&lt;=(Drivers!B19+Drivers!B20)),Summary!B31*D139,0)</f>
        <v>0</v>
      </c>
      <c r="V139" s="14">
        <f>IF(A139&lt;=(Drivers!B19+Drivers!B20),(T139+U139/2)*Drivers!B36/12,T139*Drivers!B36/12)</f>
        <v>144621.103</v>
      </c>
      <c r="W139" s="14">
        <f>IF(A139&gt;(Drivers!B19+Drivers!B20),MIN(T139,MAX(0,Summary!B32/12-V139)),0)</f>
        <v>113780.7514</v>
      </c>
      <c r="X139" s="14">
        <f>IF(A139=(Drivers!B19+1),Summary!B31*Drivers!B38,0)</f>
        <v>0</v>
      </c>
      <c r="Y139" s="14">
        <f t="shared" si="3"/>
        <v>14977116.96</v>
      </c>
      <c r="Z139" s="14">
        <f t="shared" si="4"/>
        <v>200247.4754</v>
      </c>
      <c r="AA139" s="14">
        <f t="shared" si="7"/>
        <v>-134891081.6</v>
      </c>
      <c r="AB139" s="14">
        <f t="shared" si="5"/>
        <v>458649.3298</v>
      </c>
      <c r="AC139" s="14">
        <f>(E139+F139+G139+H139)*Drivers!B45</f>
        <v>0</v>
      </c>
      <c r="AD139" s="14">
        <f>IF(A139&lt;=Summary!B18,AB139+IF(A139=Summary!B18,Summary!B40,0),0)</f>
        <v>458649.3298</v>
      </c>
      <c r="AE139" s="14">
        <f>IF(A139&lt;=Summary!B18,Z139+IF(A139=Summary!B18,Summary!B40-Y139,0),0)</f>
        <v>200247.4754</v>
      </c>
      <c r="AF139" s="14">
        <f>AD139-IF(A139=0,Drivers!B44,0)</f>
        <v>458649.3298</v>
      </c>
      <c r="AG139" s="14">
        <f t="shared" si="8"/>
        <v>-130223122.2</v>
      </c>
    </row>
    <row r="140">
      <c r="A140" s="2">
        <v>138.0</v>
      </c>
      <c r="B140" s="15">
        <f>EDATE(Setup!B2,A140)</f>
        <v>50478</v>
      </c>
      <c r="C140" s="2" t="str">
        <f>IF(A140=0,"T0",IF(A140&lt;=Drivers!B19,"Preconstruction",IF(A140&lt;=(Drivers!B19+Drivers!B20),"Construction","Trading")))</f>
        <v>Trading</v>
      </c>
      <c r="D140" s="12">
        <f t="array" ref="D140">IF(AND(A140&gt;Drivers!B19,A140&lt;=(Drivers!B19+Drivers!B20)),SIN(PI()*(A140-Drivers!B19-0.5)/Drivers!B20)/SUMPRODUCT(SIN(PI()*(SEQUENCE(Drivers!B20,1)-0.5)/Drivers!B20)),0)</f>
        <v>0</v>
      </c>
      <c r="E140" s="14">
        <f>(Summary!B10+Summary!B12)*D140*(1+Drivers!B21)^(A140/12)</f>
        <v>0</v>
      </c>
      <c r="F140" s="14">
        <f>IF(AND(A140&gt;0,A140&lt;=Drivers!B19),Summary!B11*Drivers!B40/Drivers!B19*(1+Drivers!B21)^(A140/12),Summary!B11*(1-Drivers!B40 )*D140*(1+Drivers!B21)^(A140/12))</f>
        <v>0</v>
      </c>
      <c r="G140" s="14">
        <f>IF(AND(A140&gt;0,A140&lt;=2),Drivers!B16/2,0)</f>
        <v>0</v>
      </c>
      <c r="H140" s="14">
        <f>IF(A140=(Drivers!B19+Drivers!B20),Drivers!B17*(1+Drivers!B21)^(A140/12),0)</f>
        <v>0</v>
      </c>
      <c r="I140" s="14">
        <f>IF(AND(A140&gt;0,A140&lt;=(Drivers!B19+Drivers!B20)),Drivers!B18*(1+Drivers!B23)^(A140/12),0)</f>
        <v>0</v>
      </c>
      <c r="J140" s="14">
        <f t="shared" si="1"/>
        <v>0</v>
      </c>
      <c r="K140" s="12">
        <f>IF(A140&gt;(Drivers!B19+Drivers!B20),MIN(1,0.5+0.5*(A140-(Drivers!B19+Drivers!B20))/Drivers!B39),0)</f>
        <v>1</v>
      </c>
      <c r="L140" s="14">
        <f>Drivers!B2*(B140-B139)*Drivers!B24*(1+Drivers!B22)^(A140/12)*Drivers!B25*K140</f>
        <v>1186875.589</v>
      </c>
      <c r="M140" s="14">
        <f>L140*Drivers!B26</f>
        <v>237375.1177</v>
      </c>
      <c r="N140" s="14">
        <f>(L140+M140)*Drivers!B27</f>
        <v>498487.7472</v>
      </c>
      <c r="O140" s="14">
        <f>IF(A140&gt;(Drivers!B19+Drivers!B20),Drivers!B28/12*(1+Drivers!B23)^(A140/12),0)</f>
        <v>523313.7516</v>
      </c>
      <c r="P140" s="14">
        <f>(L140+M140)*Drivers!B29</f>
        <v>56970.02825</v>
      </c>
      <c r="Q140" s="14">
        <f>Drivers!B3*Drivers!B30*(1+Drivers!B22)^(A140/12)*Drivers!B31*(1-Drivers!B32 )*K140</f>
        <v>100083.755</v>
      </c>
      <c r="R140" s="14">
        <f>IF(A140&gt;(Drivers!B19+Drivers!B20),Drivers!B33/12*(1+Drivers!B23)^(A140/12),0)</f>
        <v>78497.06273</v>
      </c>
      <c r="S140" s="14">
        <f t="shared" si="2"/>
        <v>367065.8715</v>
      </c>
      <c r="T140" s="14">
        <f t="shared" si="6"/>
        <v>14977116.96</v>
      </c>
      <c r="U140" s="14">
        <f>IF(AND(A140&gt;Drivers!B19,A140&lt;=(Drivers!B19+Drivers!B20)),Summary!B31*D140,0)</f>
        <v>0</v>
      </c>
      <c r="V140" s="14">
        <f>IF(A140&lt;=(Drivers!B19+Drivers!B20),(T140+U140/2)*Drivers!B36/12,T140*Drivers!B36/12)</f>
        <v>143530.7042</v>
      </c>
      <c r="W140" s="14">
        <f>IF(A140&gt;(Drivers!B19+Drivers!B20),MIN(T140,MAX(0,Summary!B32/12-V140)),0)</f>
        <v>114871.1502</v>
      </c>
      <c r="X140" s="14">
        <f>IF(A140=(Drivers!B19+1),Summary!B31*Drivers!B38,0)</f>
        <v>0</v>
      </c>
      <c r="Y140" s="14">
        <f t="shared" si="3"/>
        <v>14862245.81</v>
      </c>
      <c r="Z140" s="14">
        <f t="shared" si="4"/>
        <v>108664.0171</v>
      </c>
      <c r="AA140" s="14">
        <f t="shared" si="7"/>
        <v>-134782417.6</v>
      </c>
      <c r="AB140" s="14">
        <f t="shared" si="5"/>
        <v>367065.8715</v>
      </c>
      <c r="AC140" s="14">
        <f>(E140+F140+G140+H140)*Drivers!B45</f>
        <v>0</v>
      </c>
      <c r="AD140" s="14">
        <f>IF(A140&lt;=Summary!B18,AB140+IF(A140=Summary!B18,Summary!B40,0),0)</f>
        <v>367065.8715</v>
      </c>
      <c r="AE140" s="14">
        <f>IF(A140&lt;=Summary!B18,Z140+IF(A140=Summary!B18,Summary!B40-Y140,0),0)</f>
        <v>108664.0171</v>
      </c>
      <c r="AF140" s="14">
        <f>AD140-IF(A140=0,Drivers!B44,0)</f>
        <v>367065.8715</v>
      </c>
      <c r="AG140" s="14">
        <f t="shared" si="8"/>
        <v>-129856056.3</v>
      </c>
    </row>
    <row r="141">
      <c r="A141" s="2">
        <v>139.0</v>
      </c>
      <c r="B141" s="15">
        <f>EDATE(Setup!B2,A141)</f>
        <v>50509</v>
      </c>
      <c r="C141" s="2" t="str">
        <f>IF(A141=0,"T0",IF(A141&lt;=Drivers!B19,"Preconstruction",IF(A141&lt;=(Drivers!B19+Drivers!B20),"Construction","Trading")))</f>
        <v>Trading</v>
      </c>
      <c r="D141" s="12">
        <f t="array" ref="D141">IF(AND(A141&gt;Drivers!B19,A141&lt;=(Drivers!B19+Drivers!B20)),SIN(PI()*(A141-Drivers!B19-0.5)/Drivers!B20)/SUMPRODUCT(SIN(PI()*(SEQUENCE(Drivers!B20,1)-0.5)/Drivers!B20)),0)</f>
        <v>0</v>
      </c>
      <c r="E141" s="14">
        <f>(Summary!B10+Summary!B12)*D141*(1+Drivers!B21)^(A141/12)</f>
        <v>0</v>
      </c>
      <c r="F141" s="14">
        <f>IF(AND(A141&gt;0,A141&lt;=Drivers!B19),Summary!B11*Drivers!B40/Drivers!B19*(1+Drivers!B21)^(A141/12),Summary!B11*(1-Drivers!B40 )*D141*(1+Drivers!B21)^(A141/12))</f>
        <v>0</v>
      </c>
      <c r="G141" s="14">
        <f>IF(AND(A141&gt;0,A141&lt;=2),Drivers!B16/2,0)</f>
        <v>0</v>
      </c>
      <c r="H141" s="14">
        <f>IF(A141=(Drivers!B19+Drivers!B20),Drivers!B17*(1+Drivers!B21)^(A141/12),0)</f>
        <v>0</v>
      </c>
      <c r="I141" s="14">
        <f>IF(AND(A141&gt;0,A141&lt;=(Drivers!B19+Drivers!B20)),Drivers!B18*(1+Drivers!B23)^(A141/12),0)</f>
        <v>0</v>
      </c>
      <c r="J141" s="14">
        <f t="shared" si="1"/>
        <v>0</v>
      </c>
      <c r="K141" s="12">
        <f>IF(A141&gt;(Drivers!B19+Drivers!B20),MIN(1,0.5+0.5*(A141-(Drivers!B19+Drivers!B20))/Drivers!B39),0)</f>
        <v>1</v>
      </c>
      <c r="L141" s="14">
        <f>Drivers!B2*(B141-B140)*Drivers!B24*(1+Drivers!B22)^(A141/12)*Drivers!B25*K141</f>
        <v>1318342.658</v>
      </c>
      <c r="M141" s="14">
        <f>L141*Drivers!B26</f>
        <v>263668.5316</v>
      </c>
      <c r="N141" s="14">
        <f>(L141+M141)*Drivers!B27</f>
        <v>553703.9163</v>
      </c>
      <c r="O141" s="14">
        <f>IF(A141&gt;(Drivers!B19+Drivers!B20),Drivers!B28/12*(1+Drivers!B23)^(A141/12),0)</f>
        <v>525026.9446</v>
      </c>
      <c r="P141" s="14">
        <f>(L141+M141)*Drivers!B29</f>
        <v>63280.44758</v>
      </c>
      <c r="Q141" s="14">
        <f>Drivers!B3*Drivers!B30*(1+Drivers!B22)^(A141/12)*Drivers!B31*(1-Drivers!B32 )*K141</f>
        <v>100411.4032</v>
      </c>
      <c r="R141" s="14">
        <f>IF(A141&gt;(Drivers!B19+Drivers!B20),Drivers!B33/12*(1+Drivers!B23)^(A141/12),0)</f>
        <v>78754.04169</v>
      </c>
      <c r="S141" s="14">
        <f t="shared" si="2"/>
        <v>461657.2424</v>
      </c>
      <c r="T141" s="14">
        <f t="shared" si="6"/>
        <v>14862245.81</v>
      </c>
      <c r="U141" s="14">
        <f>IF(AND(A141&gt;Drivers!B19,A141&lt;=(Drivers!B19+Drivers!B20)),Summary!B31*D141,0)</f>
        <v>0</v>
      </c>
      <c r="V141" s="14">
        <f>IF(A141&lt;=(Drivers!B19+Drivers!B20),(T141+U141/2)*Drivers!B36/12,T141*Drivers!B36/12)</f>
        <v>142429.8556</v>
      </c>
      <c r="W141" s="14">
        <f>IF(A141&gt;(Drivers!B19+Drivers!B20),MIN(T141,MAX(0,Summary!B32/12-V141)),0)</f>
        <v>115971.9988</v>
      </c>
      <c r="X141" s="14">
        <f>IF(A141=(Drivers!B19+1),Summary!B31*Drivers!B38,0)</f>
        <v>0</v>
      </c>
      <c r="Y141" s="14">
        <f t="shared" si="3"/>
        <v>14746273.81</v>
      </c>
      <c r="Z141" s="14">
        <f t="shared" si="4"/>
        <v>203255.388</v>
      </c>
      <c r="AA141" s="14">
        <f t="shared" si="7"/>
        <v>-134579162.2</v>
      </c>
      <c r="AB141" s="14">
        <f t="shared" si="5"/>
        <v>461657.2424</v>
      </c>
      <c r="AC141" s="14">
        <f>(E141+F141+G141+H141)*Drivers!B45</f>
        <v>0</v>
      </c>
      <c r="AD141" s="14">
        <f>IF(A141&lt;=Summary!B18,AB141+IF(A141=Summary!B18,Summary!B40,0),0)</f>
        <v>461657.2424</v>
      </c>
      <c r="AE141" s="14">
        <f>IF(A141&lt;=Summary!B18,Z141+IF(A141=Summary!B18,Summary!B40-Y141,0),0)</f>
        <v>203255.388</v>
      </c>
      <c r="AF141" s="14">
        <f>AD141-IF(A141=0,Drivers!B44,0)</f>
        <v>461657.2424</v>
      </c>
      <c r="AG141" s="14">
        <f t="shared" si="8"/>
        <v>-129394399.1</v>
      </c>
    </row>
    <row r="142">
      <c r="A142" s="2">
        <v>140.0</v>
      </c>
      <c r="B142" s="15">
        <f>EDATE(Setup!B2,A142)</f>
        <v>50539</v>
      </c>
      <c r="C142" s="2" t="str">
        <f>IF(A142=0,"T0",IF(A142&lt;=Drivers!B19,"Preconstruction",IF(A142&lt;=(Drivers!B19+Drivers!B20),"Construction","Trading")))</f>
        <v>Trading</v>
      </c>
      <c r="D142" s="12">
        <f t="array" ref="D142">IF(AND(A142&gt;Drivers!B19,A142&lt;=(Drivers!B19+Drivers!B20)),SIN(PI()*(A142-Drivers!B19-0.5)/Drivers!B20)/SUMPRODUCT(SIN(PI()*(SEQUENCE(Drivers!B20,1)-0.5)/Drivers!B20)),0)</f>
        <v>0</v>
      </c>
      <c r="E142" s="14">
        <f>(Summary!B10+Summary!B12)*D142*(1+Drivers!B21)^(A142/12)</f>
        <v>0</v>
      </c>
      <c r="F142" s="14">
        <f>IF(AND(A142&gt;0,A142&lt;=Drivers!B19),Summary!B11*Drivers!B40/Drivers!B19*(1+Drivers!B21)^(A142/12),Summary!B11*(1-Drivers!B40 )*D142*(1+Drivers!B21)^(A142/12))</f>
        <v>0</v>
      </c>
      <c r="G142" s="14">
        <f>IF(AND(A142&gt;0,A142&lt;=2),Drivers!B16/2,0)</f>
        <v>0</v>
      </c>
      <c r="H142" s="14">
        <f>IF(A142=(Drivers!B19+Drivers!B20),Drivers!B17*(1+Drivers!B21)^(A142/12),0)</f>
        <v>0</v>
      </c>
      <c r="I142" s="14">
        <f>IF(AND(A142&gt;0,A142&lt;=(Drivers!B19+Drivers!B20)),Drivers!B18*(1+Drivers!B23)^(A142/12),0)</f>
        <v>0</v>
      </c>
      <c r="J142" s="14">
        <f t="shared" si="1"/>
        <v>0</v>
      </c>
      <c r="K142" s="12">
        <f>IF(A142&gt;(Drivers!B19+Drivers!B20),MIN(1,0.5+0.5*(A142-(Drivers!B19+Drivers!B20))/Drivers!B39),0)</f>
        <v>1</v>
      </c>
      <c r="L142" s="14">
        <f>Drivers!B2*(B142-B141)*Drivers!B24*(1+Drivers!B22)^(A142/12)*Drivers!B25*K142</f>
        <v>1279992.163</v>
      </c>
      <c r="M142" s="14">
        <f>L142*Drivers!B26</f>
        <v>255998.4327</v>
      </c>
      <c r="N142" s="14">
        <f>(L142+M142)*Drivers!B27</f>
        <v>537596.7086</v>
      </c>
      <c r="O142" s="14">
        <f>IF(A142&gt;(Drivers!B19+Drivers!B20),Drivers!B28/12*(1+Drivers!B23)^(A142/12),0)</f>
        <v>526745.7462</v>
      </c>
      <c r="P142" s="14">
        <f>(L142+M142)*Drivers!B29</f>
        <v>61439.62384</v>
      </c>
      <c r="Q142" s="14">
        <f>Drivers!B3*Drivers!B30*(1+Drivers!B22)^(A142/12)*Drivers!B31*(1-Drivers!B32 )*K142</f>
        <v>100740.124</v>
      </c>
      <c r="R142" s="14">
        <f>IF(A142&gt;(Drivers!B19+Drivers!B20),Drivers!B33/12*(1+Drivers!B23)^(A142/12),0)</f>
        <v>79011.86193</v>
      </c>
      <c r="S142" s="14">
        <f t="shared" si="2"/>
        <v>431936.7793</v>
      </c>
      <c r="T142" s="14">
        <f t="shared" si="6"/>
        <v>14746273.81</v>
      </c>
      <c r="U142" s="14">
        <f>IF(AND(A142&gt;Drivers!B19,A142&lt;=(Drivers!B19+Drivers!B20)),Summary!B31*D142,0)</f>
        <v>0</v>
      </c>
      <c r="V142" s="14">
        <f>IF(A142&lt;=(Drivers!B19+Drivers!B20),(T142+U142/2)*Drivers!B36/12,T142*Drivers!B36/12)</f>
        <v>141318.4573</v>
      </c>
      <c r="W142" s="14">
        <f>IF(A142&gt;(Drivers!B19+Drivers!B20),MIN(T142,MAX(0,Summary!B32/12-V142)),0)</f>
        <v>117083.3971</v>
      </c>
      <c r="X142" s="14">
        <f>IF(A142=(Drivers!B19+1),Summary!B31*Drivers!B38,0)</f>
        <v>0</v>
      </c>
      <c r="Y142" s="14">
        <f t="shared" si="3"/>
        <v>14629190.41</v>
      </c>
      <c r="Z142" s="14">
        <f t="shared" si="4"/>
        <v>173534.9249</v>
      </c>
      <c r="AA142" s="14">
        <f t="shared" si="7"/>
        <v>-134405627.3</v>
      </c>
      <c r="AB142" s="14">
        <f t="shared" si="5"/>
        <v>431936.7793</v>
      </c>
      <c r="AC142" s="14">
        <f>(E142+F142+G142+H142)*Drivers!B45</f>
        <v>0</v>
      </c>
      <c r="AD142" s="14">
        <f>IF(A142&lt;=Summary!B18,AB142+IF(A142=Summary!B18,Summary!B40,0),0)</f>
        <v>431936.7793</v>
      </c>
      <c r="AE142" s="14">
        <f>IF(A142&lt;=Summary!B18,Z142+IF(A142=Summary!B18,Summary!B40-Y142,0),0)</f>
        <v>173534.9249</v>
      </c>
      <c r="AF142" s="14">
        <f>AD142-IF(A142=0,Drivers!B44,0)</f>
        <v>431936.7793</v>
      </c>
      <c r="AG142" s="14">
        <f t="shared" si="8"/>
        <v>-128962462.3</v>
      </c>
    </row>
    <row r="143">
      <c r="A143" s="2">
        <v>141.0</v>
      </c>
      <c r="B143" s="15">
        <f>EDATE(Setup!B2,A143)</f>
        <v>50570</v>
      </c>
      <c r="C143" s="2" t="str">
        <f>IF(A143=0,"T0",IF(A143&lt;=Drivers!B19,"Preconstruction",IF(A143&lt;=(Drivers!B19+Drivers!B20),"Construction","Trading")))</f>
        <v>Trading</v>
      </c>
      <c r="D143" s="12">
        <f t="array" ref="D143">IF(AND(A143&gt;Drivers!B19,A143&lt;=(Drivers!B19+Drivers!B20)),SIN(PI()*(A143-Drivers!B19-0.5)/Drivers!B20)/SUMPRODUCT(SIN(PI()*(SEQUENCE(Drivers!B20,1)-0.5)/Drivers!B20)),0)</f>
        <v>0</v>
      </c>
      <c r="E143" s="14">
        <f>(Summary!B10+Summary!B12)*D143*(1+Drivers!B21)^(A143/12)</f>
        <v>0</v>
      </c>
      <c r="F143" s="14">
        <f>IF(AND(A143&gt;0,A143&lt;=Drivers!B19),Summary!B11*Drivers!B40/Drivers!B19*(1+Drivers!B21)^(A143/12),Summary!B11*(1-Drivers!B40 )*D143*(1+Drivers!B21)^(A143/12))</f>
        <v>0</v>
      </c>
      <c r="G143" s="14">
        <f>IF(AND(A143&gt;0,A143&lt;=2),Drivers!B16/2,0)</f>
        <v>0</v>
      </c>
      <c r="H143" s="14">
        <f>IF(A143=(Drivers!B19+Drivers!B20),Drivers!B17*(1+Drivers!B21)^(A143/12),0)</f>
        <v>0</v>
      </c>
      <c r="I143" s="14">
        <f>IF(AND(A143&gt;0,A143&lt;=(Drivers!B19+Drivers!B20)),Drivers!B18*(1+Drivers!B23)^(A143/12),0)</f>
        <v>0</v>
      </c>
      <c r="J143" s="14">
        <f t="shared" si="1"/>
        <v>0</v>
      </c>
      <c r="K143" s="12">
        <f>IF(A143&gt;(Drivers!B19+Drivers!B20),MIN(1,0.5+0.5*(A143-(Drivers!B19+Drivers!B20))/Drivers!B39),0)</f>
        <v>1</v>
      </c>
      <c r="L143" s="14">
        <f>Drivers!B2*(B143-B142)*Drivers!B24*(1+Drivers!B22)^(A143/12)*Drivers!B25*K143</f>
        <v>1326988.609</v>
      </c>
      <c r="M143" s="14">
        <f>L143*Drivers!B26</f>
        <v>265397.7217</v>
      </c>
      <c r="N143" s="14">
        <f>(L143+M143)*Drivers!B27</f>
        <v>557335.2157</v>
      </c>
      <c r="O143" s="14">
        <f>IF(A143&gt;(Drivers!B19+Drivers!B20),Drivers!B28/12*(1+Drivers!B23)^(A143/12),0)</f>
        <v>528470.1747</v>
      </c>
      <c r="P143" s="14">
        <f>(L143+M143)*Drivers!B29</f>
        <v>63695.45322</v>
      </c>
      <c r="Q143" s="14">
        <f>Drivers!B3*Drivers!B30*(1+Drivers!B22)^(A143/12)*Drivers!B31*(1-Drivers!B32 )*K143</f>
        <v>101069.9209</v>
      </c>
      <c r="R143" s="14">
        <f>IF(A143&gt;(Drivers!B19+Drivers!B20),Drivers!B33/12*(1+Drivers!B23)^(A143/12),0)</f>
        <v>79270.52621</v>
      </c>
      <c r="S143" s="14">
        <f t="shared" si="2"/>
        <v>464684.8816</v>
      </c>
      <c r="T143" s="14">
        <f t="shared" si="6"/>
        <v>14629190.41</v>
      </c>
      <c r="U143" s="14">
        <f>IF(AND(A143&gt;Drivers!B19,A143&lt;=(Drivers!B19+Drivers!B20)),Summary!B31*D143,0)</f>
        <v>0</v>
      </c>
      <c r="V143" s="14">
        <f>IF(A143&lt;=(Drivers!B19+Drivers!B20),(T143+U143/2)*Drivers!B36/12,T143*Drivers!B36/12)</f>
        <v>140196.4081</v>
      </c>
      <c r="W143" s="14">
        <f>IF(A143&gt;(Drivers!B19+Drivers!B20),MIN(T143,MAX(0,Summary!B32/12-V143)),0)</f>
        <v>118205.4463</v>
      </c>
      <c r="X143" s="14">
        <f>IF(A143=(Drivers!B19+1),Summary!B31*Drivers!B38,0)</f>
        <v>0</v>
      </c>
      <c r="Y143" s="14">
        <f t="shared" si="3"/>
        <v>14510984.96</v>
      </c>
      <c r="Z143" s="14">
        <f t="shared" si="4"/>
        <v>206283.0271</v>
      </c>
      <c r="AA143" s="14">
        <f t="shared" si="7"/>
        <v>-134199344.2</v>
      </c>
      <c r="AB143" s="14">
        <f t="shared" si="5"/>
        <v>464684.8816</v>
      </c>
      <c r="AC143" s="14">
        <f>(E143+F143+G143+H143)*Drivers!B45</f>
        <v>0</v>
      </c>
      <c r="AD143" s="14">
        <f>IF(A143&lt;=Summary!B18,AB143+IF(A143=Summary!B18,Summary!B40,0),0)</f>
        <v>464684.8816</v>
      </c>
      <c r="AE143" s="14">
        <f>IF(A143&lt;=Summary!B18,Z143+IF(A143=Summary!B18,Summary!B40-Y143,0),0)</f>
        <v>206283.0271</v>
      </c>
      <c r="AF143" s="14">
        <f>AD143-IF(A143=0,Drivers!B44,0)</f>
        <v>464684.8816</v>
      </c>
      <c r="AG143" s="14">
        <f t="shared" si="8"/>
        <v>-128497777.4</v>
      </c>
    </row>
    <row r="144">
      <c r="A144" s="2">
        <v>142.0</v>
      </c>
      <c r="B144" s="15">
        <f>EDATE(Setup!B2,A144)</f>
        <v>50600</v>
      </c>
      <c r="C144" s="2" t="str">
        <f>IF(A144=0,"T0",IF(A144&lt;=Drivers!B19,"Preconstruction",IF(A144&lt;=(Drivers!B19+Drivers!B20),"Construction","Trading")))</f>
        <v>Trading</v>
      </c>
      <c r="D144" s="12">
        <f t="array" ref="D144">IF(AND(A144&gt;Drivers!B19,A144&lt;=(Drivers!B19+Drivers!B20)),SIN(PI()*(A144-Drivers!B19-0.5)/Drivers!B20)/SUMPRODUCT(SIN(PI()*(SEQUENCE(Drivers!B20,1)-0.5)/Drivers!B20)),0)</f>
        <v>0</v>
      </c>
      <c r="E144" s="14">
        <f>(Summary!B10+Summary!B12)*D144*(1+Drivers!B21)^(A144/12)</f>
        <v>0</v>
      </c>
      <c r="F144" s="14">
        <f>IF(AND(A144&gt;0,A144&lt;=Drivers!B19),Summary!B11*Drivers!B40/Drivers!B19*(1+Drivers!B21)^(A144/12),Summary!B11*(1-Drivers!B40 )*D144*(1+Drivers!B21)^(A144/12))</f>
        <v>0</v>
      </c>
      <c r="G144" s="14">
        <f>IF(AND(A144&gt;0,A144&lt;=2),Drivers!B16/2,0)</f>
        <v>0</v>
      </c>
      <c r="H144" s="14">
        <f>IF(A144=(Drivers!B19+Drivers!B20),Drivers!B17*(1+Drivers!B21)^(A144/12),0)</f>
        <v>0</v>
      </c>
      <c r="I144" s="14">
        <f>IF(AND(A144&gt;0,A144&lt;=(Drivers!B19+Drivers!B20)),Drivers!B18*(1+Drivers!B23)^(A144/12),0)</f>
        <v>0</v>
      </c>
      <c r="J144" s="14">
        <f t="shared" si="1"/>
        <v>0</v>
      </c>
      <c r="K144" s="12">
        <f>IF(A144&gt;(Drivers!B19+Drivers!B20),MIN(1,0.5+0.5*(A144-(Drivers!B19+Drivers!B20))/Drivers!B39),0)</f>
        <v>1</v>
      </c>
      <c r="L144" s="14">
        <f>Drivers!B2*(B144-B143)*Drivers!B24*(1+Drivers!B22)^(A144/12)*Drivers!B25*K144</f>
        <v>1288386.604</v>
      </c>
      <c r="M144" s="14">
        <f>L144*Drivers!B26</f>
        <v>257677.3208</v>
      </c>
      <c r="N144" s="14">
        <f>(L144+M144)*Drivers!B27</f>
        <v>541122.3737</v>
      </c>
      <c r="O144" s="14">
        <f>IF(A144&gt;(Drivers!B19+Drivers!B20),Drivers!B28/12*(1+Drivers!B23)^(A144/12),0)</f>
        <v>530200.2485</v>
      </c>
      <c r="P144" s="14">
        <f>(L144+M144)*Drivers!B29</f>
        <v>61842.55699</v>
      </c>
      <c r="Q144" s="14">
        <f>Drivers!B3*Drivers!B30*(1+Drivers!B22)^(A144/12)*Drivers!B31*(1-Drivers!B32 )*K144</f>
        <v>101400.7975</v>
      </c>
      <c r="R144" s="14">
        <f>IF(A144&gt;(Drivers!B19+Drivers!B20),Drivers!B33/12*(1+Drivers!B23)^(A144/12),0)</f>
        <v>79530.03728</v>
      </c>
      <c r="S144" s="14">
        <f t="shared" si="2"/>
        <v>434769.5058</v>
      </c>
      <c r="T144" s="14">
        <f t="shared" si="6"/>
        <v>14510984.96</v>
      </c>
      <c r="U144" s="14">
        <f>IF(AND(A144&gt;Drivers!B19,A144&lt;=(Drivers!B19+Drivers!B20)),Summary!B31*D144,0)</f>
        <v>0</v>
      </c>
      <c r="V144" s="14">
        <f>IF(A144&lt;=(Drivers!B19+Drivers!B20),(T144+U144/2)*Drivers!B36/12,T144*Drivers!B36/12)</f>
        <v>139063.6059</v>
      </c>
      <c r="W144" s="14">
        <f>IF(A144&gt;(Drivers!B19+Drivers!B20),MIN(T144,MAX(0,Summary!B32/12-V144)),0)</f>
        <v>119338.2485</v>
      </c>
      <c r="X144" s="14">
        <f>IF(A144=(Drivers!B19+1),Summary!B31*Drivers!B38,0)</f>
        <v>0</v>
      </c>
      <c r="Y144" s="14">
        <f t="shared" si="3"/>
        <v>14391646.72</v>
      </c>
      <c r="Z144" s="14">
        <f t="shared" si="4"/>
        <v>176367.6514</v>
      </c>
      <c r="AA144" s="14">
        <f t="shared" si="7"/>
        <v>-134022976.6</v>
      </c>
      <c r="AB144" s="14">
        <f t="shared" si="5"/>
        <v>434769.5058</v>
      </c>
      <c r="AC144" s="14">
        <f>(E144+F144+G144+H144)*Drivers!B45</f>
        <v>0</v>
      </c>
      <c r="AD144" s="14">
        <f>IF(A144&lt;=Summary!B18,AB144+IF(A144=Summary!B18,Summary!B40,0),0)</f>
        <v>434769.5058</v>
      </c>
      <c r="AE144" s="14">
        <f>IF(A144&lt;=Summary!B18,Z144+IF(A144=Summary!B18,Summary!B40-Y144,0),0)</f>
        <v>176367.6514</v>
      </c>
      <c r="AF144" s="14">
        <f>AD144-IF(A144=0,Drivers!B44,0)</f>
        <v>434769.5058</v>
      </c>
      <c r="AG144" s="14">
        <f t="shared" si="8"/>
        <v>-128063007.9</v>
      </c>
    </row>
    <row r="145">
      <c r="A145" s="2">
        <v>143.0</v>
      </c>
      <c r="B145" s="15">
        <f>EDATE(Setup!B2,A145)</f>
        <v>50631</v>
      </c>
      <c r="C145" s="2" t="str">
        <f>IF(A145=0,"T0",IF(A145&lt;=Drivers!B19,"Preconstruction",IF(A145&lt;=(Drivers!B19+Drivers!B20),"Construction","Trading")))</f>
        <v>Trading</v>
      </c>
      <c r="D145" s="12">
        <f t="array" ref="D145">IF(AND(A145&gt;Drivers!B19,A145&lt;=(Drivers!B19+Drivers!B20)),SIN(PI()*(A145-Drivers!B19-0.5)/Drivers!B20)/SUMPRODUCT(SIN(PI()*(SEQUENCE(Drivers!B20,1)-0.5)/Drivers!B20)),0)</f>
        <v>0</v>
      </c>
      <c r="E145" s="14">
        <f>(Summary!B10+Summary!B12)*D145*(1+Drivers!B21)^(A145/12)</f>
        <v>0</v>
      </c>
      <c r="F145" s="14">
        <f>IF(AND(A145&gt;0,A145&lt;=Drivers!B19),Summary!B11*Drivers!B40/Drivers!B19*(1+Drivers!B21)^(A145/12),Summary!B11*(1-Drivers!B40 )*D145*(1+Drivers!B21)^(A145/12))</f>
        <v>0</v>
      </c>
      <c r="G145" s="14">
        <f>IF(AND(A145&gt;0,A145&lt;=2),Drivers!B16/2,0)</f>
        <v>0</v>
      </c>
      <c r="H145" s="14">
        <f>IF(A145=(Drivers!B19+Drivers!B20),Drivers!B17*(1+Drivers!B21)^(A145/12),0)</f>
        <v>0</v>
      </c>
      <c r="I145" s="14">
        <f>IF(AND(A145&gt;0,A145&lt;=(Drivers!B19+Drivers!B20)),Drivers!B18*(1+Drivers!B23)^(A145/12),0)</f>
        <v>0</v>
      </c>
      <c r="J145" s="14">
        <f t="shared" si="1"/>
        <v>0</v>
      </c>
      <c r="K145" s="12">
        <f>IF(A145&gt;(Drivers!B19+Drivers!B20),MIN(1,0.5+0.5*(A145-(Drivers!B19+Drivers!B20))/Drivers!B39),0)</f>
        <v>1</v>
      </c>
      <c r="L145" s="14">
        <f>Drivers!B2*(B145-B144)*Drivers!B24*(1+Drivers!B22)^(A145/12)*Drivers!B25*K145</f>
        <v>1335691.261</v>
      </c>
      <c r="M145" s="14">
        <f>L145*Drivers!B26</f>
        <v>267138.2523</v>
      </c>
      <c r="N145" s="14">
        <f>(L145+M145)*Drivers!B27</f>
        <v>560990.3298</v>
      </c>
      <c r="O145" s="14">
        <f>IF(A145&gt;(Drivers!B19+Drivers!B20),Drivers!B28/12*(1+Drivers!B23)^(A145/12),0)</f>
        <v>531935.9862</v>
      </c>
      <c r="P145" s="14">
        <f>(L145+M145)*Drivers!B29</f>
        <v>64113.18054</v>
      </c>
      <c r="Q145" s="14">
        <f>Drivers!B3*Drivers!B30*(1+Drivers!B22)^(A145/12)*Drivers!B31*(1-Drivers!B32 )*K145</f>
        <v>101732.7574</v>
      </c>
      <c r="R145" s="14">
        <f>IF(A145&gt;(Drivers!B19+Drivers!B20),Drivers!B33/12*(1+Drivers!B23)^(A145/12),0)</f>
        <v>79790.39793</v>
      </c>
      <c r="S145" s="14">
        <f t="shared" si="2"/>
        <v>467732.3765</v>
      </c>
      <c r="T145" s="14">
        <f t="shared" si="6"/>
        <v>14391646.72</v>
      </c>
      <c r="U145" s="14">
        <f>IF(AND(A145&gt;Drivers!B19,A145&lt;=(Drivers!B19+Drivers!B20)),Summary!B31*D145,0)</f>
        <v>0</v>
      </c>
      <c r="V145" s="14">
        <f>IF(A145&lt;=(Drivers!B19+Drivers!B20),(T145+U145/2)*Drivers!B36/12,T145*Drivers!B36/12)</f>
        <v>137919.9477</v>
      </c>
      <c r="W145" s="14">
        <f>IF(A145&gt;(Drivers!B19+Drivers!B20),MIN(T145,MAX(0,Summary!B32/12-V145)),0)</f>
        <v>120481.9067</v>
      </c>
      <c r="X145" s="14">
        <f>IF(A145=(Drivers!B19+1),Summary!B31*Drivers!B38,0)</f>
        <v>0</v>
      </c>
      <c r="Y145" s="14">
        <f t="shared" si="3"/>
        <v>14271164.81</v>
      </c>
      <c r="Z145" s="14">
        <f t="shared" si="4"/>
        <v>209330.5221</v>
      </c>
      <c r="AA145" s="14">
        <f t="shared" si="7"/>
        <v>-133813646.1</v>
      </c>
      <c r="AB145" s="14">
        <f t="shared" si="5"/>
        <v>467732.3765</v>
      </c>
      <c r="AC145" s="14">
        <f>(E145+F145+G145+H145)*Drivers!B45</f>
        <v>0</v>
      </c>
      <c r="AD145" s="14">
        <f>IF(A145&lt;=Summary!B18,AB145+IF(A145=Summary!B18,Summary!B40,0),0)</f>
        <v>467732.3765</v>
      </c>
      <c r="AE145" s="14">
        <f>IF(A145&lt;=Summary!B18,Z145+IF(A145=Summary!B18,Summary!B40-Y145,0),0)</f>
        <v>209330.5221</v>
      </c>
      <c r="AF145" s="14">
        <f>AD145-IF(A145=0,Drivers!B44,0)</f>
        <v>467732.3765</v>
      </c>
      <c r="AG145" s="14">
        <f t="shared" si="8"/>
        <v>-127595275.6</v>
      </c>
    </row>
    <row r="146">
      <c r="A146" s="2">
        <v>144.0</v>
      </c>
      <c r="B146" s="15">
        <f>EDATE(Setup!B2,A146)</f>
        <v>50662</v>
      </c>
      <c r="C146" s="2" t="str">
        <f>IF(A146=0,"T0",IF(A146&lt;=Drivers!B19,"Preconstruction",IF(A146&lt;=(Drivers!B19+Drivers!B20),"Construction","Trading")))</f>
        <v>Trading</v>
      </c>
      <c r="D146" s="12">
        <f t="array" ref="D146">IF(AND(A146&gt;Drivers!B19,A146&lt;=(Drivers!B19+Drivers!B20)),SIN(PI()*(A146-Drivers!B19-0.5)/Drivers!B20)/SUMPRODUCT(SIN(PI()*(SEQUENCE(Drivers!B20,1)-0.5)/Drivers!B20)),0)</f>
        <v>0</v>
      </c>
      <c r="E146" s="14">
        <f>(Summary!B10+Summary!B12)*D146*(1+Drivers!B21)^(A146/12)</f>
        <v>0</v>
      </c>
      <c r="F146" s="14">
        <f>IF(AND(A146&gt;0,A146&lt;=Drivers!B19),Summary!B11*Drivers!B40/Drivers!B19*(1+Drivers!B21)^(A146/12),Summary!B11*(1-Drivers!B40 )*D146*(1+Drivers!B21)^(A146/12))</f>
        <v>0</v>
      </c>
      <c r="G146" s="14">
        <f>IF(AND(A146&gt;0,A146&lt;=2),Drivers!B16/2,0)</f>
        <v>0</v>
      </c>
      <c r="H146" s="14">
        <f>IF(A146=(Drivers!B19+Drivers!B20),Drivers!B17*(1+Drivers!B21)^(A146/12),0)</f>
        <v>0</v>
      </c>
      <c r="I146" s="14">
        <f>IF(AND(A146&gt;0,A146&lt;=(Drivers!B19+Drivers!B20)),Drivers!B18*(1+Drivers!B23)^(A146/12),0)</f>
        <v>0</v>
      </c>
      <c r="J146" s="14">
        <f t="shared" si="1"/>
        <v>0</v>
      </c>
      <c r="K146" s="12">
        <f>IF(A146&gt;(Drivers!B19+Drivers!B20),MIN(1,0.5+0.5*(A146-(Drivers!B19+Drivers!B20))/Drivers!B39),0)</f>
        <v>1</v>
      </c>
      <c r="L146" s="14">
        <f>Drivers!B2*(B146-B145)*Drivers!B24*(1+Drivers!B22)^(A146/12)*Drivers!B25*K146</f>
        <v>1340063.967</v>
      </c>
      <c r="M146" s="14">
        <f>L146*Drivers!B26</f>
        <v>268012.7934</v>
      </c>
      <c r="N146" s="14">
        <f>(L146+M146)*Drivers!B27</f>
        <v>562826.8661</v>
      </c>
      <c r="O146" s="14">
        <f>IF(A146&gt;(Drivers!B19+Drivers!B20),Drivers!B28/12*(1+Drivers!B23)^(A146/12),0)</f>
        <v>533677.4062</v>
      </c>
      <c r="P146" s="14">
        <f>(L146+M146)*Drivers!B29</f>
        <v>64323.07041</v>
      </c>
      <c r="Q146" s="14">
        <f>Drivers!B3*Drivers!B30*(1+Drivers!B22)^(A146/12)*Drivers!B31*(1-Drivers!B32 )*K146</f>
        <v>102065.8039</v>
      </c>
      <c r="R146" s="14">
        <f>IF(A146&gt;(Drivers!B19+Drivers!B20),Drivers!B33/12*(1+Drivers!B23)^(A146/12),0)</f>
        <v>80051.61093</v>
      </c>
      <c r="S146" s="14">
        <f t="shared" si="2"/>
        <v>469263.6106</v>
      </c>
      <c r="T146" s="14">
        <f t="shared" si="6"/>
        <v>14271164.81</v>
      </c>
      <c r="U146" s="14">
        <f>IF(AND(A146&gt;Drivers!B19,A146&lt;=(Drivers!B19+Drivers!B20)),Summary!B31*D146,0)</f>
        <v>0</v>
      </c>
      <c r="V146" s="14">
        <f>IF(A146&lt;=(Drivers!B19+Drivers!B20),(T146+U146/2)*Drivers!B36/12,T146*Drivers!B36/12)</f>
        <v>136765.3294</v>
      </c>
      <c r="W146" s="14">
        <f>IF(A146&gt;(Drivers!B19+Drivers!B20),MIN(T146,MAX(0,Summary!B32/12-V146)),0)</f>
        <v>121636.525</v>
      </c>
      <c r="X146" s="14">
        <f>IF(A146=(Drivers!B19+1),Summary!B31*Drivers!B38,0)</f>
        <v>0</v>
      </c>
      <c r="Y146" s="14">
        <f t="shared" si="3"/>
        <v>14149528.28</v>
      </c>
      <c r="Z146" s="14">
        <f t="shared" si="4"/>
        <v>210861.7562</v>
      </c>
      <c r="AA146" s="14">
        <f t="shared" si="7"/>
        <v>-133602784.3</v>
      </c>
      <c r="AB146" s="14">
        <f t="shared" si="5"/>
        <v>469263.6106</v>
      </c>
      <c r="AC146" s="14">
        <f>(E146+F146+G146+H146)*Drivers!B45</f>
        <v>0</v>
      </c>
      <c r="AD146" s="14">
        <f>IF(A146&lt;=Summary!B18,AB146+IF(A146=Summary!B18,Summary!B40,0),0)</f>
        <v>469263.6106</v>
      </c>
      <c r="AE146" s="14">
        <f>IF(A146&lt;=Summary!B18,Z146+IF(A146=Summary!B18,Summary!B40-Y146,0),0)</f>
        <v>210861.7562</v>
      </c>
      <c r="AF146" s="14">
        <f>AD146-IF(A146=0,Drivers!B44,0)</f>
        <v>469263.6106</v>
      </c>
      <c r="AG146" s="14">
        <f t="shared" si="8"/>
        <v>-127126011.9</v>
      </c>
    </row>
    <row r="147">
      <c r="A147" s="2">
        <v>145.0</v>
      </c>
      <c r="B147" s="15">
        <f>EDATE(Setup!B2,A147)</f>
        <v>50692</v>
      </c>
      <c r="C147" s="2" t="str">
        <f>IF(A147=0,"T0",IF(A147&lt;=Drivers!B19,"Preconstruction",IF(A147&lt;=(Drivers!B19+Drivers!B20),"Construction","Trading")))</f>
        <v>Trading</v>
      </c>
      <c r="D147" s="12">
        <f t="array" ref="D147">IF(AND(A147&gt;Drivers!B19,A147&lt;=(Drivers!B19+Drivers!B20)),SIN(PI()*(A147-Drivers!B19-0.5)/Drivers!B20)/SUMPRODUCT(SIN(PI()*(SEQUENCE(Drivers!B20,1)-0.5)/Drivers!B20)),0)</f>
        <v>0</v>
      </c>
      <c r="E147" s="14">
        <f>(Summary!B10+Summary!B12)*D147*(1+Drivers!B21)^(A147/12)</f>
        <v>0</v>
      </c>
      <c r="F147" s="14">
        <f>IF(AND(A147&gt;0,A147&lt;=Drivers!B19),Summary!B11*Drivers!B40/Drivers!B19*(1+Drivers!B21)^(A147/12),Summary!B11*(1-Drivers!B40 )*D147*(1+Drivers!B21)^(A147/12))</f>
        <v>0</v>
      </c>
      <c r="G147" s="14">
        <f>IF(AND(A147&gt;0,A147&lt;=2),Drivers!B16/2,0)</f>
        <v>0</v>
      </c>
      <c r="H147" s="14">
        <f>IF(A147=(Drivers!B19+Drivers!B20),Drivers!B17*(1+Drivers!B21)^(A147/12),0)</f>
        <v>0</v>
      </c>
      <c r="I147" s="14">
        <f>IF(AND(A147&gt;0,A147&lt;=(Drivers!B19+Drivers!B20)),Drivers!B18*(1+Drivers!B23)^(A147/12),0)</f>
        <v>0</v>
      </c>
      <c r="J147" s="14">
        <f t="shared" si="1"/>
        <v>0</v>
      </c>
      <c r="K147" s="12">
        <f>IF(A147&gt;(Drivers!B19+Drivers!B20),MIN(1,0.5+0.5*(A147-(Drivers!B19+Drivers!B20))/Drivers!B39),0)</f>
        <v>1</v>
      </c>
      <c r="L147" s="14">
        <f>Drivers!B2*(B147-B146)*Drivers!B24*(1+Drivers!B22)^(A147/12)*Drivers!B25*K147</f>
        <v>1301081.601</v>
      </c>
      <c r="M147" s="14">
        <f>L147*Drivers!B26</f>
        <v>260216.3202</v>
      </c>
      <c r="N147" s="14">
        <f>(L147+M147)*Drivers!B27</f>
        <v>546454.2724</v>
      </c>
      <c r="O147" s="14">
        <f>IF(A147&gt;(Drivers!B19+Drivers!B20),Drivers!B28/12*(1+Drivers!B23)^(A147/12),0)</f>
        <v>535424.5271</v>
      </c>
      <c r="P147" s="14">
        <f>(L147+M147)*Drivers!B29</f>
        <v>62451.91685</v>
      </c>
      <c r="Q147" s="14">
        <f>Drivers!B3*Drivers!B30*(1+Drivers!B22)^(A147/12)*Drivers!B31*(1-Drivers!B32 )*K147</f>
        <v>102399.9408</v>
      </c>
      <c r="R147" s="14">
        <f>IF(A147&gt;(Drivers!B19+Drivers!B20),Drivers!B33/12*(1+Drivers!B23)^(A147/12),0)</f>
        <v>80313.67907</v>
      </c>
      <c r="S147" s="14">
        <f t="shared" si="2"/>
        <v>439053.4665</v>
      </c>
      <c r="T147" s="14">
        <f t="shared" si="6"/>
        <v>14149528.28</v>
      </c>
      <c r="U147" s="14">
        <f>IF(AND(A147&gt;Drivers!B19,A147&lt;=(Drivers!B19+Drivers!B20)),Summary!B31*D147,0)</f>
        <v>0</v>
      </c>
      <c r="V147" s="14">
        <f>IF(A147&lt;=(Drivers!B19+Drivers!B20),(T147+U147/2)*Drivers!B36/12,T147*Drivers!B36/12)</f>
        <v>135599.6461</v>
      </c>
      <c r="W147" s="14">
        <f>IF(A147&gt;(Drivers!B19+Drivers!B20),MIN(T147,MAX(0,Summary!B32/12-V147)),0)</f>
        <v>122802.2084</v>
      </c>
      <c r="X147" s="14">
        <f>IF(A147=(Drivers!B19+1),Summary!B31*Drivers!B38,0)</f>
        <v>0</v>
      </c>
      <c r="Y147" s="14">
        <f t="shared" si="3"/>
        <v>14026726.08</v>
      </c>
      <c r="Z147" s="14">
        <f t="shared" si="4"/>
        <v>180651.6121</v>
      </c>
      <c r="AA147" s="14">
        <f t="shared" si="7"/>
        <v>-133422132.7</v>
      </c>
      <c r="AB147" s="14">
        <f t="shared" si="5"/>
        <v>439053.4665</v>
      </c>
      <c r="AC147" s="14">
        <f>(E147+F147+G147+H147)*Drivers!B45</f>
        <v>0</v>
      </c>
      <c r="AD147" s="14">
        <f>IF(A147&lt;=Summary!B18,AB147+IF(A147=Summary!B18,Summary!B40,0),0)</f>
        <v>439053.4665</v>
      </c>
      <c r="AE147" s="14">
        <f>IF(A147&lt;=Summary!B18,Z147+IF(A147=Summary!B18,Summary!B40-Y147,0),0)</f>
        <v>180651.6121</v>
      </c>
      <c r="AF147" s="14">
        <f>AD147-IF(A147=0,Drivers!B44,0)</f>
        <v>439053.4665</v>
      </c>
      <c r="AG147" s="14">
        <f t="shared" si="8"/>
        <v>-126686958.5</v>
      </c>
    </row>
    <row r="148">
      <c r="A148" s="2">
        <v>146.0</v>
      </c>
      <c r="B148" s="15">
        <f>EDATE(Setup!B2,A148)</f>
        <v>50723</v>
      </c>
      <c r="C148" s="2" t="str">
        <f>IF(A148=0,"T0",IF(A148&lt;=Drivers!B19,"Preconstruction",IF(A148&lt;=(Drivers!B19+Drivers!B20),"Construction","Trading")))</f>
        <v>Trading</v>
      </c>
      <c r="D148" s="12">
        <f t="array" ref="D148">IF(AND(A148&gt;Drivers!B19,A148&lt;=(Drivers!B19+Drivers!B20)),SIN(PI()*(A148-Drivers!B19-0.5)/Drivers!B20)/SUMPRODUCT(SIN(PI()*(SEQUENCE(Drivers!B20,1)-0.5)/Drivers!B20)),0)</f>
        <v>0</v>
      </c>
      <c r="E148" s="14">
        <f>(Summary!B10+Summary!B12)*D148*(1+Drivers!B21)^(A148/12)</f>
        <v>0</v>
      </c>
      <c r="F148" s="14">
        <f>IF(AND(A148&gt;0,A148&lt;=Drivers!B19),Summary!B11*Drivers!B40/Drivers!B19*(1+Drivers!B21)^(A148/12),Summary!B11*(1-Drivers!B40 )*D148*(1+Drivers!B21)^(A148/12))</f>
        <v>0</v>
      </c>
      <c r="G148" s="14">
        <f>IF(AND(A148&gt;0,A148&lt;=2),Drivers!B16/2,0)</f>
        <v>0</v>
      </c>
      <c r="H148" s="14">
        <f>IF(A148=(Drivers!B19+Drivers!B20),Drivers!B17*(1+Drivers!B21)^(A148/12),0)</f>
        <v>0</v>
      </c>
      <c r="I148" s="14">
        <f>IF(AND(A148&gt;0,A148&lt;=(Drivers!B19+Drivers!B20)),Drivers!B18*(1+Drivers!B23)^(A148/12),0)</f>
        <v>0</v>
      </c>
      <c r="J148" s="14">
        <f t="shared" si="1"/>
        <v>0</v>
      </c>
      <c r="K148" s="12">
        <f>IF(A148&gt;(Drivers!B19+Drivers!B20),MIN(1,0.5+0.5*(A148-(Drivers!B19+Drivers!B20))/Drivers!B39),0)</f>
        <v>1</v>
      </c>
      <c r="L148" s="14">
        <f>Drivers!B2*(B148-B147)*Drivers!B24*(1+Drivers!B22)^(A148/12)*Drivers!B25*K148</f>
        <v>1348852.37</v>
      </c>
      <c r="M148" s="14">
        <f>L148*Drivers!B26</f>
        <v>269770.4741</v>
      </c>
      <c r="N148" s="14">
        <f>(L148+M148)*Drivers!B27</f>
        <v>566517.9955</v>
      </c>
      <c r="O148" s="14">
        <f>IF(A148&gt;(Drivers!B19+Drivers!B20),Drivers!B28/12*(1+Drivers!B23)^(A148/12),0)</f>
        <v>537177.3677</v>
      </c>
      <c r="P148" s="14">
        <f>(L148+M148)*Drivers!B29</f>
        <v>64744.91378</v>
      </c>
      <c r="Q148" s="14">
        <f>Drivers!B3*Drivers!B30*(1+Drivers!B22)^(A148/12)*Drivers!B31*(1-Drivers!B32 )*K148</f>
        <v>102735.1716</v>
      </c>
      <c r="R148" s="14">
        <f>IF(A148&gt;(Drivers!B19+Drivers!B20),Drivers!B33/12*(1+Drivers!B23)^(A148/12),0)</f>
        <v>80576.60516</v>
      </c>
      <c r="S148" s="14">
        <f t="shared" si="2"/>
        <v>472341.1338</v>
      </c>
      <c r="T148" s="14">
        <f t="shared" si="6"/>
        <v>14026726.08</v>
      </c>
      <c r="U148" s="14">
        <f>IF(AND(A148&gt;Drivers!B19,A148&lt;=(Drivers!B19+Drivers!B20)),Summary!B31*D148,0)</f>
        <v>0</v>
      </c>
      <c r="V148" s="14">
        <f>IF(A148&lt;=(Drivers!B19+Drivers!B20),(T148+U148/2)*Drivers!B36/12,T148*Drivers!B36/12)</f>
        <v>134422.7916</v>
      </c>
      <c r="W148" s="14">
        <f>IF(A148&gt;(Drivers!B19+Drivers!B20),MIN(T148,MAX(0,Summary!B32/12-V148)),0)</f>
        <v>123979.0629</v>
      </c>
      <c r="X148" s="14">
        <f>IF(A148=(Drivers!B19+1),Summary!B31*Drivers!B38,0)</f>
        <v>0</v>
      </c>
      <c r="Y148" s="14">
        <f t="shared" si="3"/>
        <v>13902747.01</v>
      </c>
      <c r="Z148" s="14">
        <f t="shared" si="4"/>
        <v>213939.2794</v>
      </c>
      <c r="AA148" s="14">
        <f t="shared" si="7"/>
        <v>-133208193.4</v>
      </c>
      <c r="AB148" s="14">
        <f t="shared" si="5"/>
        <v>472341.1338</v>
      </c>
      <c r="AC148" s="14">
        <f>(E148+F148+G148+H148)*Drivers!B45</f>
        <v>0</v>
      </c>
      <c r="AD148" s="14">
        <f>IF(A148&lt;=Summary!B18,AB148+IF(A148=Summary!B18,Summary!B40,0),0)</f>
        <v>472341.1338</v>
      </c>
      <c r="AE148" s="14">
        <f>IF(A148&lt;=Summary!B18,Z148+IF(A148=Summary!B18,Summary!B40-Y148,0),0)</f>
        <v>213939.2794</v>
      </c>
      <c r="AF148" s="14">
        <f>AD148-IF(A148=0,Drivers!B44,0)</f>
        <v>472341.1338</v>
      </c>
      <c r="AG148" s="14">
        <f t="shared" si="8"/>
        <v>-126214617.3</v>
      </c>
    </row>
    <row r="149">
      <c r="A149" s="2">
        <v>147.0</v>
      </c>
      <c r="B149" s="15">
        <f>EDATE(Setup!B2,A149)</f>
        <v>50753</v>
      </c>
      <c r="C149" s="2" t="str">
        <f>IF(A149=0,"T0",IF(A149&lt;=Drivers!B19,"Preconstruction",IF(A149&lt;=(Drivers!B19+Drivers!B20),"Construction","Trading")))</f>
        <v>Trading</v>
      </c>
      <c r="D149" s="12">
        <f t="array" ref="D149">IF(AND(A149&gt;Drivers!B19,A149&lt;=(Drivers!B19+Drivers!B20)),SIN(PI()*(A149-Drivers!B19-0.5)/Drivers!B20)/SUMPRODUCT(SIN(PI()*(SEQUENCE(Drivers!B20,1)-0.5)/Drivers!B20)),0)</f>
        <v>0</v>
      </c>
      <c r="E149" s="14">
        <f>(Summary!B10+Summary!B12)*D149*(1+Drivers!B21)^(A149/12)</f>
        <v>0</v>
      </c>
      <c r="F149" s="14">
        <f>IF(AND(A149&gt;0,A149&lt;=Drivers!B19),Summary!B11*Drivers!B40/Drivers!B19*(1+Drivers!B21)^(A149/12),Summary!B11*(1-Drivers!B40 )*D149*(1+Drivers!B21)^(A149/12))</f>
        <v>0</v>
      </c>
      <c r="G149" s="14">
        <f>IF(AND(A149&gt;0,A149&lt;=2),Drivers!B16/2,0)</f>
        <v>0</v>
      </c>
      <c r="H149" s="14">
        <f>IF(A149=(Drivers!B19+Drivers!B20),Drivers!B17*(1+Drivers!B21)^(A149/12),0)</f>
        <v>0</v>
      </c>
      <c r="I149" s="14">
        <f>IF(AND(A149&gt;0,A149&lt;=(Drivers!B19+Drivers!B20)),Drivers!B18*(1+Drivers!B23)^(A149/12),0)</f>
        <v>0</v>
      </c>
      <c r="J149" s="14">
        <f t="shared" si="1"/>
        <v>0</v>
      </c>
      <c r="K149" s="12">
        <f>IF(A149&gt;(Drivers!B19+Drivers!B20),MIN(1,0.5+0.5*(A149-(Drivers!B19+Drivers!B20))/Drivers!B39),0)</f>
        <v>1</v>
      </c>
      <c r="L149" s="14">
        <f>Drivers!B2*(B149-B148)*Drivers!B24*(1+Drivers!B22)^(A149/12)*Drivers!B25*K149</f>
        <v>1309614.35</v>
      </c>
      <c r="M149" s="14">
        <f>L149*Drivers!B26</f>
        <v>261922.8701</v>
      </c>
      <c r="N149" s="14">
        <f>(L149+M149)*Drivers!B27</f>
        <v>550038.0271</v>
      </c>
      <c r="O149" s="14">
        <f>IF(A149&gt;(Drivers!B19+Drivers!B20),Drivers!B28/12*(1+Drivers!B23)^(A149/12),0)</f>
        <v>538935.9466</v>
      </c>
      <c r="P149" s="14">
        <f>(L149+M149)*Drivers!B29</f>
        <v>62861.48882</v>
      </c>
      <c r="Q149" s="14">
        <f>Drivers!B3*Drivers!B30*(1+Drivers!B22)^(A149/12)*Drivers!B31*(1-Drivers!B32 )*K149</f>
        <v>103071.4998</v>
      </c>
      <c r="R149" s="14">
        <f>IF(A149&gt;(Drivers!B19+Drivers!B20),Drivers!B33/12*(1+Drivers!B23)^(A149/12),0)</f>
        <v>80840.392</v>
      </c>
      <c r="S149" s="14">
        <f t="shared" si="2"/>
        <v>441932.8656</v>
      </c>
      <c r="T149" s="14">
        <f t="shared" si="6"/>
        <v>13902747.01</v>
      </c>
      <c r="U149" s="14">
        <f>IF(AND(A149&gt;Drivers!B19,A149&lt;=(Drivers!B19+Drivers!B20)),Summary!B31*D149,0)</f>
        <v>0</v>
      </c>
      <c r="V149" s="14">
        <f>IF(A149&lt;=(Drivers!B19+Drivers!B20),(T149+U149/2)*Drivers!B36/12,T149*Drivers!B36/12)</f>
        <v>133234.6589</v>
      </c>
      <c r="W149" s="14">
        <f>IF(A149&gt;(Drivers!B19+Drivers!B20),MIN(T149,MAX(0,Summary!B32/12-V149)),0)</f>
        <v>125167.1955</v>
      </c>
      <c r="X149" s="14">
        <f>IF(A149=(Drivers!B19+1),Summary!B31*Drivers!B38,0)</f>
        <v>0</v>
      </c>
      <c r="Y149" s="14">
        <f t="shared" si="3"/>
        <v>13777579.82</v>
      </c>
      <c r="Z149" s="14">
        <f t="shared" si="4"/>
        <v>183531.0112</v>
      </c>
      <c r="AA149" s="14">
        <f t="shared" si="7"/>
        <v>-133024662.4</v>
      </c>
      <c r="AB149" s="14">
        <f t="shared" si="5"/>
        <v>441932.8656</v>
      </c>
      <c r="AC149" s="14">
        <f>(E149+F149+G149+H149)*Drivers!B45</f>
        <v>0</v>
      </c>
      <c r="AD149" s="14">
        <f>IF(A149&lt;=Summary!B18,AB149+IF(A149=Summary!B18,Summary!B40,0),0)</f>
        <v>441932.8656</v>
      </c>
      <c r="AE149" s="14">
        <f>IF(A149&lt;=Summary!B18,Z149+IF(A149=Summary!B18,Summary!B40-Y149,0),0)</f>
        <v>183531.0112</v>
      </c>
      <c r="AF149" s="14">
        <f>AD149-IF(A149=0,Drivers!B44,0)</f>
        <v>441932.8656</v>
      </c>
      <c r="AG149" s="14">
        <f t="shared" si="8"/>
        <v>-125772684.5</v>
      </c>
    </row>
    <row r="150">
      <c r="A150" s="2">
        <v>148.0</v>
      </c>
      <c r="B150" s="15">
        <f>EDATE(Setup!B2,A150)</f>
        <v>50784</v>
      </c>
      <c r="C150" s="2" t="str">
        <f>IF(A150=0,"T0",IF(A150&lt;=Drivers!B19,"Preconstruction",IF(A150&lt;=(Drivers!B19+Drivers!B20),"Construction","Trading")))</f>
        <v>Trading</v>
      </c>
      <c r="D150" s="12">
        <f t="array" ref="D150">IF(AND(A150&gt;Drivers!B19,A150&lt;=(Drivers!B19+Drivers!B20)),SIN(PI()*(A150-Drivers!B19-0.5)/Drivers!B20)/SUMPRODUCT(SIN(PI()*(SEQUENCE(Drivers!B20,1)-0.5)/Drivers!B20)),0)</f>
        <v>0</v>
      </c>
      <c r="E150" s="14">
        <f>(Summary!B10+Summary!B12)*D150*(1+Drivers!B21)^(A150/12)</f>
        <v>0</v>
      </c>
      <c r="F150" s="14">
        <f>IF(AND(A150&gt;0,A150&lt;=Drivers!B19),Summary!B11*Drivers!B40/Drivers!B19*(1+Drivers!B21)^(A150/12),Summary!B11*(1-Drivers!B40 )*D150*(1+Drivers!B21)^(A150/12))</f>
        <v>0</v>
      </c>
      <c r="G150" s="14">
        <f>IF(AND(A150&gt;0,A150&lt;=2),Drivers!B16/2,0)</f>
        <v>0</v>
      </c>
      <c r="H150" s="14">
        <f>IF(A150=(Drivers!B19+Drivers!B20),Drivers!B17*(1+Drivers!B21)^(A150/12),0)</f>
        <v>0</v>
      </c>
      <c r="I150" s="14">
        <f>IF(AND(A150&gt;0,A150&lt;=(Drivers!B19+Drivers!B20)),Drivers!B18*(1+Drivers!B23)^(A150/12),0)</f>
        <v>0</v>
      </c>
      <c r="J150" s="14">
        <f t="shared" si="1"/>
        <v>0</v>
      </c>
      <c r="K150" s="12">
        <f>IF(A150&gt;(Drivers!B19+Drivers!B20),MIN(1,0.5+0.5*(A150-(Drivers!B19+Drivers!B20))/Drivers!B39),0)</f>
        <v>1</v>
      </c>
      <c r="L150" s="14">
        <f>Drivers!B2*(B150-B149)*Drivers!B24*(1+Drivers!B22)^(A150/12)*Drivers!B25*K150</f>
        <v>1357698.41</v>
      </c>
      <c r="M150" s="14">
        <f>L150*Drivers!B26</f>
        <v>271539.682</v>
      </c>
      <c r="N150" s="14">
        <f>(L150+M150)*Drivers!B27</f>
        <v>570233.3321</v>
      </c>
      <c r="O150" s="14">
        <f>IF(A150&gt;(Drivers!B19+Drivers!B20),Drivers!B28/12*(1+Drivers!B23)^(A150/12),0)</f>
        <v>540700.2827</v>
      </c>
      <c r="P150" s="14">
        <f>(L150+M150)*Drivers!B29</f>
        <v>65169.52367</v>
      </c>
      <c r="Q150" s="14">
        <f>Drivers!B3*Drivers!B30*(1+Drivers!B22)^(A150/12)*Drivers!B31*(1-Drivers!B32 )*K150</f>
        <v>103408.9291</v>
      </c>
      <c r="R150" s="14">
        <f>IF(A150&gt;(Drivers!B19+Drivers!B20),Drivers!B33/12*(1+Drivers!B23)^(A150/12),0)</f>
        <v>81105.0424</v>
      </c>
      <c r="S150" s="14">
        <f t="shared" si="2"/>
        <v>475438.84</v>
      </c>
      <c r="T150" s="14">
        <f t="shared" si="6"/>
        <v>13777579.82</v>
      </c>
      <c r="U150" s="14">
        <f>IF(AND(A150&gt;Drivers!B19,A150&lt;=(Drivers!B19+Drivers!B20)),Summary!B31*D150,0)</f>
        <v>0</v>
      </c>
      <c r="V150" s="14">
        <f>IF(A150&lt;=(Drivers!B19+Drivers!B20),(T150+U150/2)*Drivers!B36/12,T150*Drivers!B36/12)</f>
        <v>132035.1399</v>
      </c>
      <c r="W150" s="14">
        <f>IF(A150&gt;(Drivers!B19+Drivers!B20),MIN(T150,MAX(0,Summary!B32/12-V150)),0)</f>
        <v>126366.7145</v>
      </c>
      <c r="X150" s="14">
        <f>IF(A150=(Drivers!B19+1),Summary!B31*Drivers!B38,0)</f>
        <v>0</v>
      </c>
      <c r="Y150" s="14">
        <f t="shared" si="3"/>
        <v>13651213.1</v>
      </c>
      <c r="Z150" s="14">
        <f t="shared" si="4"/>
        <v>217036.9856</v>
      </c>
      <c r="AA150" s="14">
        <f t="shared" si="7"/>
        <v>-132807625.4</v>
      </c>
      <c r="AB150" s="14">
        <f t="shared" si="5"/>
        <v>475438.84</v>
      </c>
      <c r="AC150" s="14">
        <f>(E150+F150+G150+H150)*Drivers!B45</f>
        <v>0</v>
      </c>
      <c r="AD150" s="14">
        <f>IF(A150&lt;=Summary!B18,AB150+IF(A150=Summary!B18,Summary!B40,0),0)</f>
        <v>475438.84</v>
      </c>
      <c r="AE150" s="14">
        <f>IF(A150&lt;=Summary!B18,Z150+IF(A150=Summary!B18,Summary!B40-Y150,0),0)</f>
        <v>217036.9856</v>
      </c>
      <c r="AF150" s="14">
        <f>AD150-IF(A150=0,Drivers!B44,0)</f>
        <v>475438.84</v>
      </c>
      <c r="AG150" s="14">
        <f t="shared" si="8"/>
        <v>-125297245.6</v>
      </c>
    </row>
    <row r="151">
      <c r="A151" s="2">
        <v>149.0</v>
      </c>
      <c r="B151" s="15">
        <f>EDATE(Setup!B2,A151)</f>
        <v>50815</v>
      </c>
      <c r="C151" s="2" t="str">
        <f>IF(A151=0,"T0",IF(A151&lt;=Drivers!B19,"Preconstruction",IF(A151&lt;=(Drivers!B19+Drivers!B20),"Construction","Trading")))</f>
        <v>Trading</v>
      </c>
      <c r="D151" s="12">
        <f t="array" ref="D151">IF(AND(A151&gt;Drivers!B19,A151&lt;=(Drivers!B19+Drivers!B20)),SIN(PI()*(A151-Drivers!B19-0.5)/Drivers!B20)/SUMPRODUCT(SIN(PI()*(SEQUENCE(Drivers!B20,1)-0.5)/Drivers!B20)),0)</f>
        <v>0</v>
      </c>
      <c r="E151" s="14">
        <f>(Summary!B10+Summary!B12)*D151*(1+Drivers!B21)^(A151/12)</f>
        <v>0</v>
      </c>
      <c r="F151" s="14">
        <f>IF(AND(A151&gt;0,A151&lt;=Drivers!B19),Summary!B11*Drivers!B40/Drivers!B19*(1+Drivers!B21)^(A151/12),Summary!B11*(1-Drivers!B40 )*D151*(1+Drivers!B21)^(A151/12))</f>
        <v>0</v>
      </c>
      <c r="G151" s="14">
        <f>IF(AND(A151&gt;0,A151&lt;=2),Drivers!B16/2,0)</f>
        <v>0</v>
      </c>
      <c r="H151" s="14">
        <f>IF(A151=(Drivers!B19+Drivers!B20),Drivers!B17*(1+Drivers!B21)^(A151/12),0)</f>
        <v>0</v>
      </c>
      <c r="I151" s="14">
        <f>IF(AND(A151&gt;0,A151&lt;=(Drivers!B19+Drivers!B20)),Drivers!B18*(1+Drivers!B23)^(A151/12),0)</f>
        <v>0</v>
      </c>
      <c r="J151" s="14">
        <f t="shared" si="1"/>
        <v>0</v>
      </c>
      <c r="K151" s="12">
        <f>IF(A151&gt;(Drivers!B19+Drivers!B20),MIN(1,0.5+0.5*(A151-(Drivers!B19+Drivers!B20))/Drivers!B39),0)</f>
        <v>1</v>
      </c>
      <c r="L151" s="14">
        <f>Drivers!B2*(B151-B150)*Drivers!B24*(1+Drivers!B22)^(A151/12)*Drivers!B25*K151</f>
        <v>1362143.161</v>
      </c>
      <c r="M151" s="14">
        <f>L151*Drivers!B26</f>
        <v>272428.6322</v>
      </c>
      <c r="N151" s="14">
        <f>(L151+M151)*Drivers!B27</f>
        <v>572100.1277</v>
      </c>
      <c r="O151" s="14">
        <f>IF(A151&gt;(Drivers!B19+Drivers!B20),Drivers!B28/12*(1+Drivers!B23)^(A151/12),0)</f>
        <v>542470.3947</v>
      </c>
      <c r="P151" s="14">
        <f>(L151+M151)*Drivers!B29</f>
        <v>65382.87173</v>
      </c>
      <c r="Q151" s="14">
        <f>Drivers!B3*Drivers!B30*(1+Drivers!B22)^(A151/12)*Drivers!B31*(1-Drivers!B32 )*K151</f>
        <v>103747.463</v>
      </c>
      <c r="R151" s="14">
        <f>IF(A151&gt;(Drivers!B19+Drivers!B20),Drivers!B33/12*(1+Drivers!B23)^(A151/12),0)</f>
        <v>81370.55921</v>
      </c>
      <c r="S151" s="14">
        <f t="shared" si="2"/>
        <v>476995.303</v>
      </c>
      <c r="T151" s="14">
        <f t="shared" si="6"/>
        <v>13651213.1</v>
      </c>
      <c r="U151" s="14">
        <f>IF(AND(A151&gt;Drivers!B19,A151&lt;=(Drivers!B19+Drivers!B20)),Summary!B31*D151,0)</f>
        <v>0</v>
      </c>
      <c r="V151" s="14">
        <f>IF(A151&lt;=(Drivers!B19+Drivers!B20),(T151+U151/2)*Drivers!B36/12,T151*Drivers!B36/12)</f>
        <v>130824.1256</v>
      </c>
      <c r="W151" s="14">
        <f>IF(A151&gt;(Drivers!B19+Drivers!B20),MIN(T151,MAX(0,Summary!B32/12-V151)),0)</f>
        <v>127577.7288</v>
      </c>
      <c r="X151" s="14">
        <f>IF(A151=(Drivers!B19+1),Summary!B31*Drivers!B38,0)</f>
        <v>0</v>
      </c>
      <c r="Y151" s="14">
        <f t="shared" si="3"/>
        <v>13523635.37</v>
      </c>
      <c r="Z151" s="14">
        <f t="shared" si="4"/>
        <v>218593.4486</v>
      </c>
      <c r="AA151" s="14">
        <f t="shared" si="7"/>
        <v>-132589032</v>
      </c>
      <c r="AB151" s="14">
        <f t="shared" si="5"/>
        <v>476995.303</v>
      </c>
      <c r="AC151" s="14">
        <f>(E151+F151+G151+H151)*Drivers!B45</f>
        <v>0</v>
      </c>
      <c r="AD151" s="14">
        <f>IF(A151&lt;=Summary!B18,AB151+IF(A151=Summary!B18,Summary!B40,0),0)</f>
        <v>476995.303</v>
      </c>
      <c r="AE151" s="14">
        <f>IF(A151&lt;=Summary!B18,Z151+IF(A151=Summary!B18,Summary!B40-Y151,0),0)</f>
        <v>218593.4486</v>
      </c>
      <c r="AF151" s="14">
        <f>AD151-IF(A151=0,Drivers!B44,0)</f>
        <v>476995.303</v>
      </c>
      <c r="AG151" s="14">
        <f t="shared" si="8"/>
        <v>-124820250.3</v>
      </c>
    </row>
    <row r="152">
      <c r="A152" s="2">
        <v>150.0</v>
      </c>
      <c r="B152" s="15">
        <f>EDATE(Setup!B2,A152)</f>
        <v>50843</v>
      </c>
      <c r="C152" s="2" t="str">
        <f>IF(A152=0,"T0",IF(A152&lt;=Drivers!B19,"Preconstruction",IF(A152&lt;=(Drivers!B19+Drivers!B20),"Construction","Trading")))</f>
        <v>Trading</v>
      </c>
      <c r="D152" s="12">
        <f t="array" ref="D152">IF(AND(A152&gt;Drivers!B19,A152&lt;=(Drivers!B19+Drivers!B20)),SIN(PI()*(A152-Drivers!B19-0.5)/Drivers!B20)/SUMPRODUCT(SIN(PI()*(SEQUENCE(Drivers!B20,1)-0.5)/Drivers!B20)),0)</f>
        <v>0</v>
      </c>
      <c r="E152" s="14">
        <f>(Summary!B10+Summary!B12)*D152*(1+Drivers!B21)^(A152/12)</f>
        <v>0</v>
      </c>
      <c r="F152" s="14">
        <f>IF(AND(A152&gt;0,A152&lt;=Drivers!B19),Summary!B11*Drivers!B40/Drivers!B19*(1+Drivers!B21)^(A152/12),Summary!B11*(1-Drivers!B40 )*D152*(1+Drivers!B21)^(A152/12))</f>
        <v>0</v>
      </c>
      <c r="G152" s="14">
        <f>IF(AND(A152&gt;0,A152&lt;=2),Drivers!B16/2,0)</f>
        <v>0</v>
      </c>
      <c r="H152" s="14">
        <f>IF(A152=(Drivers!B19+Drivers!B20),Drivers!B17*(1+Drivers!B21)^(A152/12),0)</f>
        <v>0</v>
      </c>
      <c r="I152" s="14">
        <f>IF(AND(A152&gt;0,A152&lt;=(Drivers!B19+Drivers!B20)),Drivers!B18*(1+Drivers!B23)^(A152/12),0)</f>
        <v>0</v>
      </c>
      <c r="J152" s="14">
        <f t="shared" si="1"/>
        <v>0</v>
      </c>
      <c r="K152" s="12">
        <f>IF(A152&gt;(Drivers!B19+Drivers!B20),MIN(1,0.5+0.5*(A152-(Drivers!B19+Drivers!B20))/Drivers!B39),0)</f>
        <v>1</v>
      </c>
      <c r="L152" s="14">
        <f>Drivers!B2*(B152-B151)*Drivers!B24*(1+Drivers!B22)^(A152/12)*Drivers!B25*K152</f>
        <v>1234350.612</v>
      </c>
      <c r="M152" s="14">
        <f>L152*Drivers!B26</f>
        <v>246870.1224</v>
      </c>
      <c r="N152" s="14">
        <f>(L152+M152)*Drivers!B27</f>
        <v>518427.2571</v>
      </c>
      <c r="O152" s="14">
        <f>IF(A152&gt;(Drivers!B19+Drivers!B20),Drivers!B28/12*(1+Drivers!B23)^(A152/12),0)</f>
        <v>544246.3016</v>
      </c>
      <c r="P152" s="14">
        <f>(L152+M152)*Drivers!B29</f>
        <v>59248.82938</v>
      </c>
      <c r="Q152" s="14">
        <f>Drivers!B3*Drivers!B30*(1+Drivers!B22)^(A152/12)*Drivers!B31*(1-Drivers!B32 )*K152</f>
        <v>104087.1052</v>
      </c>
      <c r="R152" s="14">
        <f>IF(A152&gt;(Drivers!B19+Drivers!B20),Drivers!B33/12*(1+Drivers!B23)^(A152/12),0)</f>
        <v>81636.94524</v>
      </c>
      <c r="S152" s="14">
        <f t="shared" si="2"/>
        <v>381748.5064</v>
      </c>
      <c r="T152" s="14">
        <f t="shared" si="6"/>
        <v>13523635.37</v>
      </c>
      <c r="U152" s="14">
        <f>IF(AND(A152&gt;Drivers!B19,A152&lt;=(Drivers!B19+Drivers!B20)),Summary!B31*D152,0)</f>
        <v>0</v>
      </c>
      <c r="V152" s="14">
        <f>IF(A152&lt;=(Drivers!B19+Drivers!B20),(T152+U152/2)*Drivers!B36/12,T152*Drivers!B36/12)</f>
        <v>129601.5057</v>
      </c>
      <c r="W152" s="14">
        <f>IF(A152&gt;(Drivers!B19+Drivers!B20),MIN(T152,MAX(0,Summary!B32/12-V152)),0)</f>
        <v>128800.3487</v>
      </c>
      <c r="X152" s="14">
        <f>IF(A152=(Drivers!B19+1),Summary!B31*Drivers!B38,0)</f>
        <v>0</v>
      </c>
      <c r="Y152" s="14">
        <f t="shared" si="3"/>
        <v>13394835.03</v>
      </c>
      <c r="Z152" s="14">
        <f t="shared" si="4"/>
        <v>123346.6519</v>
      </c>
      <c r="AA152" s="14">
        <f t="shared" si="7"/>
        <v>-132465685.3</v>
      </c>
      <c r="AB152" s="14">
        <f t="shared" si="5"/>
        <v>381748.5064</v>
      </c>
      <c r="AC152" s="14">
        <f>(E152+F152+G152+H152)*Drivers!B45</f>
        <v>0</v>
      </c>
      <c r="AD152" s="14">
        <f>IF(A152&lt;=Summary!B18,AB152+IF(A152=Summary!B18,Summary!B40,0),0)</f>
        <v>381748.5064</v>
      </c>
      <c r="AE152" s="14">
        <f>IF(A152&lt;=Summary!B18,Z152+IF(A152=Summary!B18,Summary!B40-Y152,0),0)</f>
        <v>123346.6519</v>
      </c>
      <c r="AF152" s="14">
        <f>AD152-IF(A152=0,Drivers!B44,0)</f>
        <v>381748.5064</v>
      </c>
      <c r="AG152" s="14">
        <f t="shared" si="8"/>
        <v>-124438501.8</v>
      </c>
    </row>
    <row r="153">
      <c r="A153" s="2">
        <v>151.0</v>
      </c>
      <c r="B153" s="15">
        <f>EDATE(Setup!B2,A153)</f>
        <v>50874</v>
      </c>
      <c r="C153" s="2" t="str">
        <f>IF(A153=0,"T0",IF(A153&lt;=Drivers!B19,"Preconstruction",IF(A153&lt;=(Drivers!B19+Drivers!B20),"Construction","Trading")))</f>
        <v>Trading</v>
      </c>
      <c r="D153" s="12">
        <f t="array" ref="D153">IF(AND(A153&gt;Drivers!B19,A153&lt;=(Drivers!B19+Drivers!B20)),SIN(PI()*(A153-Drivers!B19-0.5)/Drivers!B20)/SUMPRODUCT(SIN(PI()*(SEQUENCE(Drivers!B20,1)-0.5)/Drivers!B20)),0)</f>
        <v>0</v>
      </c>
      <c r="E153" s="14">
        <f>(Summary!B10+Summary!B12)*D153*(1+Drivers!B21)^(A153/12)</f>
        <v>0</v>
      </c>
      <c r="F153" s="14">
        <f>IF(AND(A153&gt;0,A153&lt;=Drivers!B19),Summary!B11*Drivers!B40/Drivers!B19*(1+Drivers!B21)^(A153/12),Summary!B11*(1-Drivers!B40 )*D153*(1+Drivers!B21)^(A153/12))</f>
        <v>0</v>
      </c>
      <c r="G153" s="14">
        <f>IF(AND(A153&gt;0,A153&lt;=2),Drivers!B16/2,0)</f>
        <v>0</v>
      </c>
      <c r="H153" s="14">
        <f>IF(A153=(Drivers!B19+Drivers!B20),Drivers!B17*(1+Drivers!B21)^(A153/12),0)</f>
        <v>0</v>
      </c>
      <c r="I153" s="14">
        <f>IF(AND(A153&gt;0,A153&lt;=(Drivers!B19+Drivers!B20)),Drivers!B18*(1+Drivers!B23)^(A153/12),0)</f>
        <v>0</v>
      </c>
      <c r="J153" s="14">
        <f t="shared" si="1"/>
        <v>0</v>
      </c>
      <c r="K153" s="12">
        <f>IF(A153&gt;(Drivers!B19+Drivers!B20),MIN(1,0.5+0.5*(A153-(Drivers!B19+Drivers!B20))/Drivers!B39),0)</f>
        <v>1</v>
      </c>
      <c r="L153" s="14">
        <f>Drivers!B2*(B153-B152)*Drivers!B24*(1+Drivers!B22)^(A153/12)*Drivers!B25*K153</f>
        <v>1371076.364</v>
      </c>
      <c r="M153" s="14">
        <f>L153*Drivers!B26</f>
        <v>274215.2728</v>
      </c>
      <c r="N153" s="14">
        <f>(L153+M153)*Drivers!B27</f>
        <v>575852.073</v>
      </c>
      <c r="O153" s="14">
        <f>IF(A153&gt;(Drivers!B19+Drivers!B20),Drivers!B28/12*(1+Drivers!B23)^(A153/12),0)</f>
        <v>546028.0224</v>
      </c>
      <c r="P153" s="14">
        <f>(L153+M153)*Drivers!B29</f>
        <v>65811.66548</v>
      </c>
      <c r="Q153" s="14">
        <f>Drivers!B3*Drivers!B30*(1+Drivers!B22)^(A153/12)*Drivers!B31*(1-Drivers!B32 )*K153</f>
        <v>104427.8593</v>
      </c>
      <c r="R153" s="14">
        <f>IF(A153&gt;(Drivers!B19+Drivers!B20),Drivers!B33/12*(1+Drivers!B23)^(A153/12),0)</f>
        <v>81904.20336</v>
      </c>
      <c r="S153" s="14">
        <f t="shared" si="2"/>
        <v>480123.5321</v>
      </c>
      <c r="T153" s="14">
        <f t="shared" si="6"/>
        <v>13394835.03</v>
      </c>
      <c r="U153" s="14">
        <f>IF(AND(A153&gt;Drivers!B19,A153&lt;=(Drivers!B19+Drivers!B20)),Summary!B31*D153,0)</f>
        <v>0</v>
      </c>
      <c r="V153" s="14">
        <f>IF(A153&lt;=(Drivers!B19+Drivers!B20),(T153+U153/2)*Drivers!B36/12,T153*Drivers!B36/12)</f>
        <v>128367.169</v>
      </c>
      <c r="W153" s="14">
        <f>IF(A153&gt;(Drivers!B19+Drivers!B20),MIN(T153,MAX(0,Summary!B32/12-V153)),0)</f>
        <v>130034.6854</v>
      </c>
      <c r="X153" s="14">
        <f>IF(A153=(Drivers!B19+1),Summary!B31*Drivers!B38,0)</f>
        <v>0</v>
      </c>
      <c r="Y153" s="14">
        <f t="shared" si="3"/>
        <v>13264800.34</v>
      </c>
      <c r="Z153" s="14">
        <f t="shared" si="4"/>
        <v>221721.6777</v>
      </c>
      <c r="AA153" s="14">
        <f t="shared" si="7"/>
        <v>-132243963.6</v>
      </c>
      <c r="AB153" s="14">
        <f t="shared" si="5"/>
        <v>480123.5321</v>
      </c>
      <c r="AC153" s="14">
        <f>(E153+F153+G153+H153)*Drivers!B45</f>
        <v>0</v>
      </c>
      <c r="AD153" s="14">
        <f>IF(A153&lt;=Summary!B18,AB153+IF(A153=Summary!B18,Summary!B40,0),0)</f>
        <v>480123.5321</v>
      </c>
      <c r="AE153" s="14">
        <f>IF(A153&lt;=Summary!B18,Z153+IF(A153=Summary!B18,Summary!B40-Y153,0),0)</f>
        <v>221721.6777</v>
      </c>
      <c r="AF153" s="14">
        <f>AD153-IF(A153=0,Drivers!B44,0)</f>
        <v>480123.5321</v>
      </c>
      <c r="AG153" s="14">
        <f t="shared" si="8"/>
        <v>-123958378.3</v>
      </c>
    </row>
    <row r="154">
      <c r="A154" s="2">
        <v>152.0</v>
      </c>
      <c r="B154" s="15">
        <f>EDATE(Setup!B2,A154)</f>
        <v>50904</v>
      </c>
      <c r="C154" s="2" t="str">
        <f>IF(A154=0,"T0",IF(A154&lt;=Drivers!B19,"Preconstruction",IF(A154&lt;=(Drivers!B19+Drivers!B20),"Construction","Trading")))</f>
        <v>Trading</v>
      </c>
      <c r="D154" s="12">
        <f t="array" ref="D154">IF(AND(A154&gt;Drivers!B19,A154&lt;=(Drivers!B19+Drivers!B20)),SIN(PI()*(A154-Drivers!B19-0.5)/Drivers!B20)/SUMPRODUCT(SIN(PI()*(SEQUENCE(Drivers!B20,1)-0.5)/Drivers!B20)),0)</f>
        <v>0</v>
      </c>
      <c r="E154" s="14">
        <f>(Summary!B10+Summary!B12)*D154*(1+Drivers!B21)^(A154/12)</f>
        <v>0</v>
      </c>
      <c r="F154" s="14">
        <f>IF(AND(A154&gt;0,A154&lt;=Drivers!B19),Summary!B11*Drivers!B40/Drivers!B19*(1+Drivers!B21)^(A154/12),Summary!B11*(1-Drivers!B40 )*D154*(1+Drivers!B21)^(A154/12))</f>
        <v>0</v>
      </c>
      <c r="G154" s="14">
        <f>IF(AND(A154&gt;0,A154&lt;=2),Drivers!B16/2,0)</f>
        <v>0</v>
      </c>
      <c r="H154" s="14">
        <f>IF(A154=(Drivers!B19+Drivers!B20),Drivers!B17*(1+Drivers!B21)^(A154/12),0)</f>
        <v>0</v>
      </c>
      <c r="I154" s="14">
        <f>IF(AND(A154&gt;0,A154&lt;=(Drivers!B19+Drivers!B20)),Drivers!B18*(1+Drivers!B23)^(A154/12),0)</f>
        <v>0</v>
      </c>
      <c r="J154" s="14">
        <f t="shared" si="1"/>
        <v>0</v>
      </c>
      <c r="K154" s="12">
        <f>IF(A154&gt;(Drivers!B19+Drivers!B20),MIN(1,0.5+0.5*(A154-(Drivers!B19+Drivers!B20))/Drivers!B39),0)</f>
        <v>1</v>
      </c>
      <c r="L154" s="14">
        <f>Drivers!B2*(B154-B153)*Drivers!B24*(1+Drivers!B22)^(A154/12)*Drivers!B25*K154</f>
        <v>1331191.85</v>
      </c>
      <c r="M154" s="14">
        <f>L154*Drivers!B26</f>
        <v>266238.37</v>
      </c>
      <c r="N154" s="14">
        <f>(L154+M154)*Drivers!B27</f>
        <v>559100.5769</v>
      </c>
      <c r="O154" s="14">
        <f>IF(A154&gt;(Drivers!B19+Drivers!B20),Drivers!B28/12*(1+Drivers!B23)^(A154/12),0)</f>
        <v>547815.5761</v>
      </c>
      <c r="P154" s="14">
        <f>(L154+M154)*Drivers!B29</f>
        <v>63897.20879</v>
      </c>
      <c r="Q154" s="14">
        <f>Drivers!B3*Drivers!B30*(1+Drivers!B22)^(A154/12)*Drivers!B31*(1-Drivers!B32 )*K154</f>
        <v>104769.7289</v>
      </c>
      <c r="R154" s="14">
        <f>IF(A154&gt;(Drivers!B19+Drivers!B20),Drivers!B33/12*(1+Drivers!B23)^(A154/12),0)</f>
        <v>82172.33641</v>
      </c>
      <c r="S154" s="14">
        <f t="shared" si="2"/>
        <v>449214.2505</v>
      </c>
      <c r="T154" s="14">
        <f t="shared" si="6"/>
        <v>13264800.34</v>
      </c>
      <c r="U154" s="14">
        <f>IF(AND(A154&gt;Drivers!B19,A154&lt;=(Drivers!B19+Drivers!B20)),Summary!B31*D154,0)</f>
        <v>0</v>
      </c>
      <c r="V154" s="14">
        <f>IF(A154&lt;=(Drivers!B19+Drivers!B20),(T154+U154/2)*Drivers!B36/12,T154*Drivers!B36/12)</f>
        <v>127121.0033</v>
      </c>
      <c r="W154" s="14">
        <f>IF(A154&gt;(Drivers!B19+Drivers!B20),MIN(T154,MAX(0,Summary!B32/12-V154)),0)</f>
        <v>131280.8512</v>
      </c>
      <c r="X154" s="14">
        <f>IF(A154=(Drivers!B19+1),Summary!B31*Drivers!B38,0)</f>
        <v>0</v>
      </c>
      <c r="Y154" s="14">
        <f t="shared" si="3"/>
        <v>13133519.49</v>
      </c>
      <c r="Z154" s="14">
        <f t="shared" si="4"/>
        <v>190812.3961</v>
      </c>
      <c r="AA154" s="14">
        <f t="shared" si="7"/>
        <v>-132053151.2</v>
      </c>
      <c r="AB154" s="14">
        <f t="shared" si="5"/>
        <v>449214.2505</v>
      </c>
      <c r="AC154" s="14">
        <f>(E154+F154+G154+H154)*Drivers!B45</f>
        <v>0</v>
      </c>
      <c r="AD154" s="14">
        <f>IF(A154&lt;=Summary!B18,AB154+IF(A154=Summary!B18,Summary!B40,0),0)</f>
        <v>449214.2505</v>
      </c>
      <c r="AE154" s="14">
        <f>IF(A154&lt;=Summary!B18,Z154+IF(A154=Summary!B18,Summary!B40-Y154,0),0)</f>
        <v>190812.3961</v>
      </c>
      <c r="AF154" s="14">
        <f>AD154-IF(A154=0,Drivers!B44,0)</f>
        <v>449214.2505</v>
      </c>
      <c r="AG154" s="14">
        <f t="shared" si="8"/>
        <v>-123509164</v>
      </c>
    </row>
    <row r="155">
      <c r="A155" s="2">
        <v>153.0</v>
      </c>
      <c r="B155" s="15">
        <f>EDATE(Setup!B2,A155)</f>
        <v>50935</v>
      </c>
      <c r="C155" s="2" t="str">
        <f>IF(A155=0,"T0",IF(A155&lt;=Drivers!B19,"Preconstruction",IF(A155&lt;=(Drivers!B19+Drivers!B20),"Construction","Trading")))</f>
        <v>Trading</v>
      </c>
      <c r="D155" s="12">
        <f t="array" ref="D155">IF(AND(A155&gt;Drivers!B19,A155&lt;=(Drivers!B19+Drivers!B20)),SIN(PI()*(A155-Drivers!B19-0.5)/Drivers!B20)/SUMPRODUCT(SIN(PI()*(SEQUENCE(Drivers!B20,1)-0.5)/Drivers!B20)),0)</f>
        <v>0</v>
      </c>
      <c r="E155" s="14">
        <f>(Summary!B10+Summary!B12)*D155*(1+Drivers!B21)^(A155/12)</f>
        <v>0</v>
      </c>
      <c r="F155" s="14">
        <f>IF(AND(A155&gt;0,A155&lt;=Drivers!B19),Summary!B11*Drivers!B40/Drivers!B19*(1+Drivers!B21)^(A155/12),Summary!B11*(1-Drivers!B40 )*D155*(1+Drivers!B21)^(A155/12))</f>
        <v>0</v>
      </c>
      <c r="G155" s="14">
        <f>IF(AND(A155&gt;0,A155&lt;=2),Drivers!B16/2,0)</f>
        <v>0</v>
      </c>
      <c r="H155" s="14">
        <f>IF(A155=(Drivers!B19+Drivers!B20),Drivers!B17*(1+Drivers!B21)^(A155/12),0)</f>
        <v>0</v>
      </c>
      <c r="I155" s="14">
        <f>IF(AND(A155&gt;0,A155&lt;=(Drivers!B19+Drivers!B20)),Drivers!B18*(1+Drivers!B23)^(A155/12),0)</f>
        <v>0</v>
      </c>
      <c r="J155" s="14">
        <f t="shared" si="1"/>
        <v>0</v>
      </c>
      <c r="K155" s="12">
        <f>IF(A155&gt;(Drivers!B19+Drivers!B20),MIN(1,0.5+0.5*(A155-(Drivers!B19+Drivers!B20))/Drivers!B39),0)</f>
        <v>1</v>
      </c>
      <c r="L155" s="14">
        <f>Drivers!B2*(B155-B154)*Drivers!B24*(1+Drivers!B22)^(A155/12)*Drivers!B25*K155</f>
        <v>1380068.153</v>
      </c>
      <c r="M155" s="14">
        <f>L155*Drivers!B26</f>
        <v>276013.6306</v>
      </c>
      <c r="N155" s="14">
        <f>(L155+M155)*Drivers!B27</f>
        <v>579628.6243</v>
      </c>
      <c r="O155" s="14">
        <f>IF(A155&gt;(Drivers!B19+Drivers!B20),Drivers!B28/12*(1+Drivers!B23)^(A155/12),0)</f>
        <v>549608.9817</v>
      </c>
      <c r="P155" s="14">
        <f>(L155+M155)*Drivers!B29</f>
        <v>66243.27135</v>
      </c>
      <c r="Q155" s="14">
        <f>Drivers!B3*Drivers!B30*(1+Drivers!B22)^(A155/12)*Drivers!B31*(1-Drivers!B32 )*K155</f>
        <v>105112.7177</v>
      </c>
      <c r="R155" s="14">
        <f>IF(A155&gt;(Drivers!B19+Drivers!B20),Drivers!B33/12*(1+Drivers!B23)^(A155/12),0)</f>
        <v>82441.34725</v>
      </c>
      <c r="S155" s="14">
        <f t="shared" si="2"/>
        <v>483272.2768</v>
      </c>
      <c r="T155" s="14">
        <f t="shared" si="6"/>
        <v>13133519.49</v>
      </c>
      <c r="U155" s="14">
        <f>IF(AND(A155&gt;Drivers!B19,A155&lt;=(Drivers!B19+Drivers!B20)),Summary!B31*D155,0)</f>
        <v>0</v>
      </c>
      <c r="V155" s="14">
        <f>IF(A155&lt;=(Drivers!B19+Drivers!B20),(T155+U155/2)*Drivers!B36/12,T155*Drivers!B36/12)</f>
        <v>125862.8951</v>
      </c>
      <c r="W155" s="14">
        <f>IF(A155&gt;(Drivers!B19+Drivers!B20),MIN(T155,MAX(0,Summary!B32/12-V155)),0)</f>
        <v>132538.9593</v>
      </c>
      <c r="X155" s="14">
        <f>IF(A155=(Drivers!B19+1),Summary!B31*Drivers!B38,0)</f>
        <v>0</v>
      </c>
      <c r="Y155" s="14">
        <f t="shared" si="3"/>
        <v>13000980.53</v>
      </c>
      <c r="Z155" s="14">
        <f t="shared" si="4"/>
        <v>224870.4224</v>
      </c>
      <c r="AA155" s="14">
        <f t="shared" si="7"/>
        <v>-131828280.8</v>
      </c>
      <c r="AB155" s="14">
        <f t="shared" si="5"/>
        <v>483272.2768</v>
      </c>
      <c r="AC155" s="14">
        <f>(E155+F155+G155+H155)*Drivers!B45</f>
        <v>0</v>
      </c>
      <c r="AD155" s="14">
        <f>IF(A155&lt;=Summary!B18,AB155+IF(A155=Summary!B18,Summary!B40,0),0)</f>
        <v>483272.2768</v>
      </c>
      <c r="AE155" s="14">
        <f>IF(A155&lt;=Summary!B18,Z155+IF(A155=Summary!B18,Summary!B40-Y155,0),0)</f>
        <v>224870.4224</v>
      </c>
      <c r="AF155" s="14">
        <f>AD155-IF(A155=0,Drivers!B44,0)</f>
        <v>483272.2768</v>
      </c>
      <c r="AG155" s="14">
        <f t="shared" si="8"/>
        <v>-123025891.8</v>
      </c>
    </row>
    <row r="156">
      <c r="A156" s="2">
        <v>154.0</v>
      </c>
      <c r="B156" s="15">
        <f>EDATE(Setup!B2,A156)</f>
        <v>50965</v>
      </c>
      <c r="C156" s="2" t="str">
        <f>IF(A156=0,"T0",IF(A156&lt;=Drivers!B19,"Preconstruction",IF(A156&lt;=(Drivers!B19+Drivers!B20),"Construction","Trading")))</f>
        <v>Trading</v>
      </c>
      <c r="D156" s="12">
        <f t="array" ref="D156">IF(AND(A156&gt;Drivers!B19,A156&lt;=(Drivers!B19+Drivers!B20)),SIN(PI()*(A156-Drivers!B19-0.5)/Drivers!B20)/SUMPRODUCT(SIN(PI()*(SEQUENCE(Drivers!B20,1)-0.5)/Drivers!B20)),0)</f>
        <v>0</v>
      </c>
      <c r="E156" s="14">
        <f>(Summary!B10+Summary!B12)*D156*(1+Drivers!B21)^(A156/12)</f>
        <v>0</v>
      </c>
      <c r="F156" s="14">
        <f>IF(AND(A156&gt;0,A156&lt;=Drivers!B19),Summary!B11*Drivers!B40/Drivers!B19*(1+Drivers!B21)^(A156/12),Summary!B11*(1-Drivers!B40 )*D156*(1+Drivers!B21)^(A156/12))</f>
        <v>0</v>
      </c>
      <c r="G156" s="14">
        <f>IF(AND(A156&gt;0,A156&lt;=2),Drivers!B16/2,0)</f>
        <v>0</v>
      </c>
      <c r="H156" s="14">
        <f>IF(A156=(Drivers!B19+Drivers!B20),Drivers!B17*(1+Drivers!B21)^(A156/12),0)</f>
        <v>0</v>
      </c>
      <c r="I156" s="14">
        <f>IF(AND(A156&gt;0,A156&lt;=(Drivers!B19+Drivers!B20)),Drivers!B18*(1+Drivers!B23)^(A156/12),0)</f>
        <v>0</v>
      </c>
      <c r="J156" s="14">
        <f t="shared" si="1"/>
        <v>0</v>
      </c>
      <c r="K156" s="12">
        <f>IF(A156&gt;(Drivers!B19+Drivers!B20),MIN(1,0.5+0.5*(A156-(Drivers!B19+Drivers!B20))/Drivers!B39),0)</f>
        <v>1</v>
      </c>
      <c r="L156" s="14">
        <f>Drivers!B2*(B156-B155)*Drivers!B24*(1+Drivers!B22)^(A156/12)*Drivers!B25*K156</f>
        <v>1339922.068</v>
      </c>
      <c r="M156" s="14">
        <f>L156*Drivers!B26</f>
        <v>267984.4136</v>
      </c>
      <c r="N156" s="14">
        <f>(L156+M156)*Drivers!B27</f>
        <v>562767.2686</v>
      </c>
      <c r="O156" s="14">
        <f>IF(A156&gt;(Drivers!B19+Drivers!B20),Drivers!B28/12*(1+Drivers!B23)^(A156/12),0)</f>
        <v>551408.2585</v>
      </c>
      <c r="P156" s="14">
        <f>(L156+M156)*Drivers!B29</f>
        <v>64316.25927</v>
      </c>
      <c r="Q156" s="14">
        <f>Drivers!B3*Drivers!B30*(1+Drivers!B22)^(A156/12)*Drivers!B31*(1-Drivers!B32 )*K156</f>
        <v>105456.8294</v>
      </c>
      <c r="R156" s="14">
        <f>IF(A156&gt;(Drivers!B19+Drivers!B20),Drivers!B33/12*(1+Drivers!B23)^(A156/12),0)</f>
        <v>82711.23877</v>
      </c>
      <c r="S156" s="14">
        <f t="shared" si="2"/>
        <v>452160.286</v>
      </c>
      <c r="T156" s="14">
        <f t="shared" si="6"/>
        <v>13000980.53</v>
      </c>
      <c r="U156" s="14">
        <f>IF(AND(A156&gt;Drivers!B19,A156&lt;=(Drivers!B19+Drivers!B20)),Summary!B31*D156,0)</f>
        <v>0</v>
      </c>
      <c r="V156" s="14">
        <f>IF(A156&lt;=(Drivers!B19+Drivers!B20),(T156+U156/2)*Drivers!B36/12,T156*Drivers!B36/12)</f>
        <v>124592.7301</v>
      </c>
      <c r="W156" s="14">
        <f>IF(A156&gt;(Drivers!B19+Drivers!B20),MIN(T156,MAX(0,Summary!B32/12-V156)),0)</f>
        <v>133809.1243</v>
      </c>
      <c r="X156" s="14">
        <f>IF(A156=(Drivers!B19+1),Summary!B31*Drivers!B38,0)</f>
        <v>0</v>
      </c>
      <c r="Y156" s="14">
        <f t="shared" si="3"/>
        <v>12867171.41</v>
      </c>
      <c r="Z156" s="14">
        <f t="shared" si="4"/>
        <v>193758.4316</v>
      </c>
      <c r="AA156" s="14">
        <f t="shared" si="7"/>
        <v>-131634522.4</v>
      </c>
      <c r="AB156" s="14">
        <f t="shared" si="5"/>
        <v>452160.286</v>
      </c>
      <c r="AC156" s="14">
        <f>(E156+F156+G156+H156)*Drivers!B45</f>
        <v>0</v>
      </c>
      <c r="AD156" s="14">
        <f>IF(A156&lt;=Summary!B18,AB156+IF(A156=Summary!B18,Summary!B40,0),0)</f>
        <v>452160.286</v>
      </c>
      <c r="AE156" s="14">
        <f>IF(A156&lt;=Summary!B18,Z156+IF(A156=Summary!B18,Summary!B40-Y156,0),0)</f>
        <v>193758.4316</v>
      </c>
      <c r="AF156" s="14">
        <f>AD156-IF(A156=0,Drivers!B44,0)</f>
        <v>452160.286</v>
      </c>
      <c r="AG156" s="14">
        <f t="shared" si="8"/>
        <v>-122573731.5</v>
      </c>
    </row>
    <row r="157">
      <c r="A157" s="2">
        <v>155.0</v>
      </c>
      <c r="B157" s="15">
        <f>EDATE(Setup!B2,A157)</f>
        <v>50996</v>
      </c>
      <c r="C157" s="2" t="str">
        <f>IF(A157=0,"T0",IF(A157&lt;=Drivers!B19,"Preconstruction",IF(A157&lt;=(Drivers!B19+Drivers!B20),"Construction","Trading")))</f>
        <v>Trading</v>
      </c>
      <c r="D157" s="12">
        <f t="array" ref="D157">IF(AND(A157&gt;Drivers!B19,A157&lt;=(Drivers!B19+Drivers!B20)),SIN(PI()*(A157-Drivers!B19-0.5)/Drivers!B20)/SUMPRODUCT(SIN(PI()*(SEQUENCE(Drivers!B20,1)-0.5)/Drivers!B20)),0)</f>
        <v>0</v>
      </c>
      <c r="E157" s="14">
        <f>(Summary!B10+Summary!B12)*D157*(1+Drivers!B21)^(A157/12)</f>
        <v>0</v>
      </c>
      <c r="F157" s="14">
        <f>IF(AND(A157&gt;0,A157&lt;=Drivers!B19),Summary!B11*Drivers!B40/Drivers!B19*(1+Drivers!B21)^(A157/12),Summary!B11*(1-Drivers!B40 )*D157*(1+Drivers!B21)^(A157/12))</f>
        <v>0</v>
      </c>
      <c r="G157" s="14">
        <f>IF(AND(A157&gt;0,A157&lt;=2),Drivers!B16/2,0)</f>
        <v>0</v>
      </c>
      <c r="H157" s="14">
        <f>IF(A157=(Drivers!B19+Drivers!B20),Drivers!B17*(1+Drivers!B21)^(A157/12),0)</f>
        <v>0</v>
      </c>
      <c r="I157" s="14">
        <f>IF(AND(A157&gt;0,A157&lt;=(Drivers!B19+Drivers!B20)),Drivers!B18*(1+Drivers!B23)^(A157/12),0)</f>
        <v>0</v>
      </c>
      <c r="J157" s="14">
        <f t="shared" si="1"/>
        <v>0</v>
      </c>
      <c r="K157" s="12">
        <f>IF(A157&gt;(Drivers!B19+Drivers!B20),MIN(1,0.5+0.5*(A157-(Drivers!B19+Drivers!B20))/Drivers!B39),0)</f>
        <v>1</v>
      </c>
      <c r="L157" s="14">
        <f>Drivers!B2*(B157-B156)*Drivers!B24*(1+Drivers!B22)^(A157/12)*Drivers!B25*K157</f>
        <v>1389118.912</v>
      </c>
      <c r="M157" s="14">
        <f>L157*Drivers!B26</f>
        <v>277823.7824</v>
      </c>
      <c r="N157" s="14">
        <f>(L157+M157)*Drivers!B27</f>
        <v>583429.9429</v>
      </c>
      <c r="O157" s="14">
        <f>IF(A157&gt;(Drivers!B19+Drivers!B20),Drivers!B28/12*(1+Drivers!B23)^(A157/12),0)</f>
        <v>553213.4256</v>
      </c>
      <c r="P157" s="14">
        <f>(L157+M157)*Drivers!B29</f>
        <v>66677.70777</v>
      </c>
      <c r="Q157" s="14">
        <f>Drivers!B3*Drivers!B30*(1+Drivers!B22)^(A157/12)*Drivers!B31*(1-Drivers!B32 )*K157</f>
        <v>105802.0677</v>
      </c>
      <c r="R157" s="14">
        <f>IF(A157&gt;(Drivers!B19+Drivers!B20),Drivers!B33/12*(1+Drivers!B23)^(A157/12),0)</f>
        <v>82982.01385</v>
      </c>
      <c r="S157" s="14">
        <f t="shared" si="2"/>
        <v>486441.6716</v>
      </c>
      <c r="T157" s="14">
        <f t="shared" si="6"/>
        <v>12867171.41</v>
      </c>
      <c r="U157" s="14">
        <f>IF(AND(A157&gt;Drivers!B19,A157&lt;=(Drivers!B19+Drivers!B20)),Summary!B31*D157,0)</f>
        <v>0</v>
      </c>
      <c r="V157" s="14">
        <f>IF(A157&lt;=(Drivers!B19+Drivers!B20),(T157+U157/2)*Drivers!B36/12,T157*Drivers!B36/12)</f>
        <v>123310.3926</v>
      </c>
      <c r="W157" s="14">
        <f>IF(A157&gt;(Drivers!B19+Drivers!B20),MIN(T157,MAX(0,Summary!B32/12-V157)),0)</f>
        <v>135091.4618</v>
      </c>
      <c r="X157" s="14">
        <f>IF(A157=(Drivers!B19+1),Summary!B31*Drivers!B38,0)</f>
        <v>0</v>
      </c>
      <c r="Y157" s="14">
        <f t="shared" si="3"/>
        <v>12732079.94</v>
      </c>
      <c r="Z157" s="14">
        <f t="shared" si="4"/>
        <v>228039.8172</v>
      </c>
      <c r="AA157" s="14">
        <f t="shared" si="7"/>
        <v>-131406482.6</v>
      </c>
      <c r="AB157" s="14">
        <f t="shared" si="5"/>
        <v>486441.6716</v>
      </c>
      <c r="AC157" s="14">
        <f>(E157+F157+G157+H157)*Drivers!B45</f>
        <v>0</v>
      </c>
      <c r="AD157" s="14">
        <f>IF(A157&lt;=Summary!B18,AB157+IF(A157=Summary!B18,Summary!B40,0),0)</f>
        <v>486441.6716</v>
      </c>
      <c r="AE157" s="14">
        <f>IF(A157&lt;=Summary!B18,Z157+IF(A157=Summary!B18,Summary!B40-Y157,0),0)</f>
        <v>228039.8172</v>
      </c>
      <c r="AF157" s="14">
        <f>AD157-IF(A157=0,Drivers!B44,0)</f>
        <v>486441.6716</v>
      </c>
      <c r="AG157" s="14">
        <f t="shared" si="8"/>
        <v>-122087289.8</v>
      </c>
    </row>
    <row r="158">
      <c r="A158" s="2">
        <v>156.0</v>
      </c>
      <c r="B158" s="15">
        <f>EDATE(Setup!B2,A158)</f>
        <v>51027</v>
      </c>
      <c r="C158" s="2" t="str">
        <f>IF(A158=0,"T0",IF(A158&lt;=Drivers!B19,"Preconstruction",IF(A158&lt;=(Drivers!B19+Drivers!B20),"Construction","Trading")))</f>
        <v>Trading</v>
      </c>
      <c r="D158" s="12">
        <f t="array" ref="D158">IF(AND(A158&gt;Drivers!B19,A158&lt;=(Drivers!B19+Drivers!B20)),SIN(PI()*(A158-Drivers!B19-0.5)/Drivers!B20)/SUMPRODUCT(SIN(PI()*(SEQUENCE(Drivers!B20,1)-0.5)/Drivers!B20)),0)</f>
        <v>0</v>
      </c>
      <c r="E158" s="14">
        <f>(Summary!B10+Summary!B12)*D158*(1+Drivers!B21)^(A158/12)</f>
        <v>0</v>
      </c>
      <c r="F158" s="14">
        <f>IF(AND(A158&gt;0,A158&lt;=Drivers!B19),Summary!B11*Drivers!B40/Drivers!B19*(1+Drivers!B21)^(A158/12),Summary!B11*(1-Drivers!B40 )*D158*(1+Drivers!B21)^(A158/12))</f>
        <v>0</v>
      </c>
      <c r="G158" s="14">
        <f>IF(AND(A158&gt;0,A158&lt;=2),Drivers!B16/2,0)</f>
        <v>0</v>
      </c>
      <c r="H158" s="14">
        <f>IF(A158=(Drivers!B19+Drivers!B20),Drivers!B17*(1+Drivers!B21)^(A158/12),0)</f>
        <v>0</v>
      </c>
      <c r="I158" s="14">
        <f>IF(AND(A158&gt;0,A158&lt;=(Drivers!B19+Drivers!B20)),Drivers!B18*(1+Drivers!B23)^(A158/12),0)</f>
        <v>0</v>
      </c>
      <c r="J158" s="14">
        <f t="shared" si="1"/>
        <v>0</v>
      </c>
      <c r="K158" s="12">
        <f>IF(A158&gt;(Drivers!B19+Drivers!B20),MIN(1,0.5+0.5*(A158-(Drivers!B19+Drivers!B20))/Drivers!B39),0)</f>
        <v>1</v>
      </c>
      <c r="L158" s="14">
        <f>Drivers!B2*(B158-B157)*Drivers!B24*(1+Drivers!B22)^(A158/12)*Drivers!B25*K158</f>
        <v>1393666.526</v>
      </c>
      <c r="M158" s="14">
        <f>L158*Drivers!B26</f>
        <v>278733.3051</v>
      </c>
      <c r="N158" s="14">
        <f>(L158+M158)*Drivers!B27</f>
        <v>585339.9408</v>
      </c>
      <c r="O158" s="14">
        <f>IF(A158&gt;(Drivers!B19+Drivers!B20),Drivers!B28/12*(1+Drivers!B23)^(A158/12),0)</f>
        <v>555024.5024</v>
      </c>
      <c r="P158" s="14">
        <f>(L158+M158)*Drivers!B29</f>
        <v>66895.99323</v>
      </c>
      <c r="Q158" s="14">
        <f>Drivers!B3*Drivers!B30*(1+Drivers!B22)^(A158/12)*Drivers!B31*(1-Drivers!B32 )*K158</f>
        <v>106148.4361</v>
      </c>
      <c r="R158" s="14">
        <f>IF(A158&gt;(Drivers!B19+Drivers!B20),Drivers!B33/12*(1+Drivers!B23)^(A158/12),0)</f>
        <v>83253.67537</v>
      </c>
      <c r="S158" s="14">
        <f t="shared" si="2"/>
        <v>488034.155</v>
      </c>
      <c r="T158" s="14">
        <f t="shared" si="6"/>
        <v>12732079.94</v>
      </c>
      <c r="U158" s="14">
        <f>IF(AND(A158&gt;Drivers!B19,A158&lt;=(Drivers!B19+Drivers!B20)),Summary!B31*D158,0)</f>
        <v>0</v>
      </c>
      <c r="V158" s="14">
        <f>IF(A158&lt;=(Drivers!B19+Drivers!B20),(T158+U158/2)*Drivers!B36/12,T158*Drivers!B36/12)</f>
        <v>122015.7661</v>
      </c>
      <c r="W158" s="14">
        <f>IF(A158&gt;(Drivers!B19+Drivers!B20),MIN(T158,MAX(0,Summary!B32/12-V158)),0)</f>
        <v>136386.0883</v>
      </c>
      <c r="X158" s="14">
        <f>IF(A158=(Drivers!B19+1),Summary!B31*Drivers!B38,0)</f>
        <v>0</v>
      </c>
      <c r="Y158" s="14">
        <f t="shared" si="3"/>
        <v>12595693.85</v>
      </c>
      <c r="Z158" s="14">
        <f t="shared" si="4"/>
        <v>229632.3006</v>
      </c>
      <c r="AA158" s="14">
        <f t="shared" si="7"/>
        <v>-131176850.3</v>
      </c>
      <c r="AB158" s="14">
        <f t="shared" si="5"/>
        <v>488034.155</v>
      </c>
      <c r="AC158" s="14">
        <f>(E158+F158+G158+H158)*Drivers!B45</f>
        <v>0</v>
      </c>
      <c r="AD158" s="14">
        <f>IF(A158&lt;=Summary!B18,AB158+IF(A158=Summary!B18,Summary!B40,0),0)</f>
        <v>488034.155</v>
      </c>
      <c r="AE158" s="14">
        <f>IF(A158&lt;=Summary!B18,Z158+IF(A158=Summary!B18,Summary!B40-Y158,0),0)</f>
        <v>229632.3006</v>
      </c>
      <c r="AF158" s="14">
        <f>AD158-IF(A158=0,Drivers!B44,0)</f>
        <v>488034.155</v>
      </c>
      <c r="AG158" s="14">
        <f t="shared" si="8"/>
        <v>-121599255.7</v>
      </c>
    </row>
    <row r="159">
      <c r="A159" s="2">
        <v>157.0</v>
      </c>
      <c r="B159" s="15">
        <f>EDATE(Setup!B2,A159)</f>
        <v>51057</v>
      </c>
      <c r="C159" s="2" t="str">
        <f>IF(A159=0,"T0",IF(A159&lt;=Drivers!B19,"Preconstruction",IF(A159&lt;=(Drivers!B19+Drivers!B20),"Construction","Trading")))</f>
        <v>Trading</v>
      </c>
      <c r="D159" s="12">
        <f t="array" ref="D159">IF(AND(A159&gt;Drivers!B19,A159&lt;=(Drivers!B19+Drivers!B20)),SIN(PI()*(A159-Drivers!B19-0.5)/Drivers!B20)/SUMPRODUCT(SIN(PI()*(SEQUENCE(Drivers!B20,1)-0.5)/Drivers!B20)),0)</f>
        <v>0</v>
      </c>
      <c r="E159" s="14">
        <f>(Summary!B10+Summary!B12)*D159*(1+Drivers!B21)^(A159/12)</f>
        <v>0</v>
      </c>
      <c r="F159" s="14">
        <f>IF(AND(A159&gt;0,A159&lt;=Drivers!B19),Summary!B11*Drivers!B40/Drivers!B19*(1+Drivers!B21)^(A159/12),Summary!B11*(1-Drivers!B40 )*D159*(1+Drivers!B21)^(A159/12))</f>
        <v>0</v>
      </c>
      <c r="G159" s="14">
        <f>IF(AND(A159&gt;0,A159&lt;=2),Drivers!B16/2,0)</f>
        <v>0</v>
      </c>
      <c r="H159" s="14">
        <f>IF(A159=(Drivers!B19+Drivers!B20),Drivers!B17*(1+Drivers!B21)^(A159/12),0)</f>
        <v>0</v>
      </c>
      <c r="I159" s="14">
        <f>IF(AND(A159&gt;0,A159&lt;=(Drivers!B19+Drivers!B20)),Drivers!B18*(1+Drivers!B23)^(A159/12),0)</f>
        <v>0</v>
      </c>
      <c r="J159" s="14">
        <f t="shared" si="1"/>
        <v>0</v>
      </c>
      <c r="K159" s="12">
        <f>IF(A159&gt;(Drivers!B19+Drivers!B20),MIN(1,0.5+0.5*(A159-(Drivers!B19+Drivers!B20))/Drivers!B39),0)</f>
        <v>1</v>
      </c>
      <c r="L159" s="14">
        <f>Drivers!B2*(B159-B158)*Drivers!B24*(1+Drivers!B22)^(A159/12)*Drivers!B25*K159</f>
        <v>1353124.865</v>
      </c>
      <c r="M159" s="14">
        <f>L159*Drivers!B26</f>
        <v>270624.973</v>
      </c>
      <c r="N159" s="14">
        <f>(L159+M159)*Drivers!B27</f>
        <v>568312.4433</v>
      </c>
      <c r="O159" s="14">
        <f>IF(A159&gt;(Drivers!B19+Drivers!B20),Drivers!B28/12*(1+Drivers!B23)^(A159/12),0)</f>
        <v>556841.5082</v>
      </c>
      <c r="P159" s="14">
        <f>(L159+M159)*Drivers!B29</f>
        <v>64949.99352</v>
      </c>
      <c r="Q159" s="14">
        <f>Drivers!B3*Drivers!B30*(1+Drivers!B22)^(A159/12)*Drivers!B31*(1-Drivers!B32 )*K159</f>
        <v>106495.9384</v>
      </c>
      <c r="R159" s="14">
        <f>IF(A159&gt;(Drivers!B19+Drivers!B20),Drivers!B33/12*(1+Drivers!B23)^(A159/12),0)</f>
        <v>83526.22623</v>
      </c>
      <c r="S159" s="14">
        <f t="shared" si="2"/>
        <v>456615.6052</v>
      </c>
      <c r="T159" s="14">
        <f t="shared" si="6"/>
        <v>12595693.85</v>
      </c>
      <c r="U159" s="14">
        <f>IF(AND(A159&gt;Drivers!B19,A159&lt;=(Drivers!B19+Drivers!B20)),Summary!B31*D159,0)</f>
        <v>0</v>
      </c>
      <c r="V159" s="14">
        <f>IF(A159&lt;=(Drivers!B19+Drivers!B20),(T159+U159/2)*Drivers!B36/12,T159*Drivers!B36/12)</f>
        <v>120708.7328</v>
      </c>
      <c r="W159" s="14">
        <f>IF(A159&gt;(Drivers!B19+Drivers!B20),MIN(T159,MAX(0,Summary!B32/12-V159)),0)</f>
        <v>137693.1216</v>
      </c>
      <c r="X159" s="14">
        <f>IF(A159=(Drivers!B19+1),Summary!B31*Drivers!B38,0)</f>
        <v>0</v>
      </c>
      <c r="Y159" s="14">
        <f t="shared" si="3"/>
        <v>12458000.73</v>
      </c>
      <c r="Z159" s="14">
        <f t="shared" si="4"/>
        <v>198213.7507</v>
      </c>
      <c r="AA159" s="14">
        <f t="shared" si="7"/>
        <v>-130978636.5</v>
      </c>
      <c r="AB159" s="14">
        <f t="shared" si="5"/>
        <v>456615.6052</v>
      </c>
      <c r="AC159" s="14">
        <f>(E159+F159+G159+H159)*Drivers!B45</f>
        <v>0</v>
      </c>
      <c r="AD159" s="14">
        <f>IF(A159&lt;=Summary!B18,AB159+IF(A159=Summary!B18,Summary!B40,0),0)</f>
        <v>456615.6052</v>
      </c>
      <c r="AE159" s="14">
        <f>IF(A159&lt;=Summary!B18,Z159+IF(A159=Summary!B18,Summary!B40-Y159,0),0)</f>
        <v>198213.7507</v>
      </c>
      <c r="AF159" s="14">
        <f>AD159-IF(A159=0,Drivers!B44,0)</f>
        <v>456615.6052</v>
      </c>
      <c r="AG159" s="14">
        <f t="shared" si="8"/>
        <v>-121142640</v>
      </c>
    </row>
    <row r="160">
      <c r="A160" s="2">
        <v>158.0</v>
      </c>
      <c r="B160" s="15">
        <f>EDATE(Setup!B2,A160)</f>
        <v>51088</v>
      </c>
      <c r="C160" s="2" t="str">
        <f>IF(A160=0,"T0",IF(A160&lt;=Drivers!B19,"Preconstruction",IF(A160&lt;=(Drivers!B19+Drivers!B20),"Construction","Trading")))</f>
        <v>Trading</v>
      </c>
      <c r="D160" s="12">
        <f t="array" ref="D160">IF(AND(A160&gt;Drivers!B19,A160&lt;=(Drivers!B19+Drivers!B20)),SIN(PI()*(A160-Drivers!B19-0.5)/Drivers!B20)/SUMPRODUCT(SIN(PI()*(SEQUENCE(Drivers!B20,1)-0.5)/Drivers!B20)),0)</f>
        <v>0</v>
      </c>
      <c r="E160" s="14">
        <f>(Summary!B10+Summary!B12)*D160*(1+Drivers!B21)^(A160/12)</f>
        <v>0</v>
      </c>
      <c r="F160" s="14">
        <f>IF(AND(A160&gt;0,A160&lt;=Drivers!B19),Summary!B11*Drivers!B40/Drivers!B19*(1+Drivers!B21)^(A160/12),Summary!B11*(1-Drivers!B40 )*D160*(1+Drivers!B21)^(A160/12))</f>
        <v>0</v>
      </c>
      <c r="G160" s="14">
        <f>IF(AND(A160&gt;0,A160&lt;=2),Drivers!B16/2,0)</f>
        <v>0</v>
      </c>
      <c r="H160" s="14">
        <f>IF(A160=(Drivers!B19+Drivers!B20),Drivers!B17*(1+Drivers!B21)^(A160/12),0)</f>
        <v>0</v>
      </c>
      <c r="I160" s="14">
        <f>IF(AND(A160&gt;0,A160&lt;=(Drivers!B19+Drivers!B20)),Drivers!B18*(1+Drivers!B23)^(A160/12),0)</f>
        <v>0</v>
      </c>
      <c r="J160" s="14">
        <f t="shared" si="1"/>
        <v>0</v>
      </c>
      <c r="K160" s="12">
        <f>IF(A160&gt;(Drivers!B19+Drivers!B20),MIN(1,0.5+0.5*(A160-(Drivers!B19+Drivers!B20))/Drivers!B39),0)</f>
        <v>1</v>
      </c>
      <c r="L160" s="14">
        <f>Drivers!B2*(B160-B159)*Drivers!B24*(1+Drivers!B22)^(A160/12)*Drivers!B25*K160</f>
        <v>1402806.465</v>
      </c>
      <c r="M160" s="14">
        <f>L160*Drivers!B26</f>
        <v>280561.293</v>
      </c>
      <c r="N160" s="14">
        <f>(L160+M160)*Drivers!B27</f>
        <v>589178.7154</v>
      </c>
      <c r="O160" s="14">
        <f>IF(A160&gt;(Drivers!B19+Drivers!B20),Drivers!B28/12*(1+Drivers!B23)^(A160/12),0)</f>
        <v>558664.4624</v>
      </c>
      <c r="P160" s="14">
        <f>(L160+M160)*Drivers!B29</f>
        <v>67334.71033</v>
      </c>
      <c r="Q160" s="14">
        <f>Drivers!B3*Drivers!B30*(1+Drivers!B22)^(A160/12)*Drivers!B31*(1-Drivers!B32 )*K160</f>
        <v>106844.5784</v>
      </c>
      <c r="R160" s="14">
        <f>IF(A160&gt;(Drivers!B19+Drivers!B20),Drivers!B33/12*(1+Drivers!B23)^(A160/12),0)</f>
        <v>83799.66936</v>
      </c>
      <c r="S160" s="14">
        <f t="shared" si="2"/>
        <v>491234.7791</v>
      </c>
      <c r="T160" s="14">
        <f t="shared" si="6"/>
        <v>12458000.73</v>
      </c>
      <c r="U160" s="14">
        <f>IF(AND(A160&gt;Drivers!B19,A160&lt;=(Drivers!B19+Drivers!B20)),Summary!B31*D160,0)</f>
        <v>0</v>
      </c>
      <c r="V160" s="14">
        <f>IF(A160&lt;=(Drivers!B19+Drivers!B20),(T160+U160/2)*Drivers!B36/12,T160*Drivers!B36/12)</f>
        <v>119389.1737</v>
      </c>
      <c r="W160" s="14">
        <f>IF(A160&gt;(Drivers!B19+Drivers!B20),MIN(T160,MAX(0,Summary!B32/12-V160)),0)</f>
        <v>139012.6807</v>
      </c>
      <c r="X160" s="14">
        <f>IF(A160=(Drivers!B19+1),Summary!B31*Drivers!B38,0)</f>
        <v>0</v>
      </c>
      <c r="Y160" s="14">
        <f t="shared" si="3"/>
        <v>12318988.05</v>
      </c>
      <c r="Z160" s="14">
        <f t="shared" si="4"/>
        <v>232832.9247</v>
      </c>
      <c r="AA160" s="14">
        <f t="shared" si="7"/>
        <v>-130745803.6</v>
      </c>
      <c r="AB160" s="14">
        <f t="shared" si="5"/>
        <v>491234.7791</v>
      </c>
      <c r="AC160" s="14">
        <f>(E160+F160+G160+H160)*Drivers!B45</f>
        <v>0</v>
      </c>
      <c r="AD160" s="14">
        <f>IF(A160&lt;=Summary!B18,AB160+IF(A160=Summary!B18,Summary!B40,0),0)</f>
        <v>491234.7791</v>
      </c>
      <c r="AE160" s="14">
        <f>IF(A160&lt;=Summary!B18,Z160+IF(A160=Summary!B18,Summary!B40-Y160,0),0)</f>
        <v>232832.9247</v>
      </c>
      <c r="AF160" s="14">
        <f>AD160-IF(A160=0,Drivers!B44,0)</f>
        <v>491234.7791</v>
      </c>
      <c r="AG160" s="14">
        <f t="shared" si="8"/>
        <v>-120651405.3</v>
      </c>
    </row>
    <row r="161">
      <c r="A161" s="2">
        <v>159.0</v>
      </c>
      <c r="B161" s="15">
        <f>EDATE(Setup!B2,A161)</f>
        <v>51118</v>
      </c>
      <c r="C161" s="2" t="str">
        <f>IF(A161=0,"T0",IF(A161&lt;=Drivers!B19,"Preconstruction",IF(A161&lt;=(Drivers!B19+Drivers!B20),"Construction","Trading")))</f>
        <v>Trading</v>
      </c>
      <c r="D161" s="12">
        <f t="array" ref="D161">IF(AND(A161&gt;Drivers!B19,A161&lt;=(Drivers!B19+Drivers!B20)),SIN(PI()*(A161-Drivers!B19-0.5)/Drivers!B20)/SUMPRODUCT(SIN(PI()*(SEQUENCE(Drivers!B20,1)-0.5)/Drivers!B20)),0)</f>
        <v>0</v>
      </c>
      <c r="E161" s="14">
        <f>(Summary!B10+Summary!B12)*D161*(1+Drivers!B21)^(A161/12)</f>
        <v>0</v>
      </c>
      <c r="F161" s="14">
        <f>IF(AND(A161&gt;0,A161&lt;=Drivers!B19),Summary!B11*Drivers!B40/Drivers!B19*(1+Drivers!B21)^(A161/12),Summary!B11*(1-Drivers!B40 )*D161*(1+Drivers!B21)^(A161/12))</f>
        <v>0</v>
      </c>
      <c r="G161" s="14">
        <f>IF(AND(A161&gt;0,A161&lt;=2),Drivers!B16/2,0)</f>
        <v>0</v>
      </c>
      <c r="H161" s="14">
        <f>IF(A161=(Drivers!B19+Drivers!B20),Drivers!B17*(1+Drivers!B21)^(A161/12),0)</f>
        <v>0</v>
      </c>
      <c r="I161" s="14">
        <f>IF(AND(A161&gt;0,A161&lt;=(Drivers!B19+Drivers!B20)),Drivers!B18*(1+Drivers!B23)^(A161/12),0)</f>
        <v>0</v>
      </c>
      <c r="J161" s="14">
        <f t="shared" si="1"/>
        <v>0</v>
      </c>
      <c r="K161" s="12">
        <f>IF(A161&gt;(Drivers!B19+Drivers!B20),MIN(1,0.5+0.5*(A161-(Drivers!B19+Drivers!B20))/Drivers!B39),0)</f>
        <v>1</v>
      </c>
      <c r="L161" s="14">
        <f>Drivers!B2*(B161-B160)*Drivers!B24*(1+Drivers!B22)^(A161/12)*Drivers!B25*K161</f>
        <v>1361998.924</v>
      </c>
      <c r="M161" s="14">
        <f>L161*Drivers!B26</f>
        <v>272399.7849</v>
      </c>
      <c r="N161" s="14">
        <f>(L161+M161)*Drivers!B27</f>
        <v>572039.5482</v>
      </c>
      <c r="O161" s="14">
        <f>IF(A161&gt;(Drivers!B19+Drivers!B20),Drivers!B28/12*(1+Drivers!B23)^(A161/12),0)</f>
        <v>560493.3845</v>
      </c>
      <c r="P161" s="14">
        <f>(L161+M161)*Drivers!B29</f>
        <v>65375.94837</v>
      </c>
      <c r="Q161" s="14">
        <f>Drivers!B3*Drivers!B30*(1+Drivers!B22)^(A161/12)*Drivers!B31*(1-Drivers!B32 )*K161</f>
        <v>107194.3598</v>
      </c>
      <c r="R161" s="14">
        <f>IF(A161&gt;(Drivers!B19+Drivers!B20),Drivers!B33/12*(1+Drivers!B23)^(A161/12),0)</f>
        <v>84074.00768</v>
      </c>
      <c r="S161" s="14">
        <f t="shared" si="2"/>
        <v>459610.1802</v>
      </c>
      <c r="T161" s="14">
        <f t="shared" si="6"/>
        <v>12318988.05</v>
      </c>
      <c r="U161" s="14">
        <f>IF(AND(A161&gt;Drivers!B19,A161&lt;=(Drivers!B19+Drivers!B20)),Summary!B31*D161,0)</f>
        <v>0</v>
      </c>
      <c r="V161" s="14">
        <f>IF(A161&lt;=(Drivers!B19+Drivers!B20),(T161+U161/2)*Drivers!B36/12,T161*Drivers!B36/12)</f>
        <v>118056.9688</v>
      </c>
      <c r="W161" s="14">
        <f>IF(A161&gt;(Drivers!B19+Drivers!B20),MIN(T161,MAX(0,Summary!B32/12-V161)),0)</f>
        <v>140344.8856</v>
      </c>
      <c r="X161" s="14">
        <f>IF(A161=(Drivers!B19+1),Summary!B31*Drivers!B38,0)</f>
        <v>0</v>
      </c>
      <c r="Y161" s="14">
        <f t="shared" si="3"/>
        <v>12178643.17</v>
      </c>
      <c r="Z161" s="14">
        <f t="shared" si="4"/>
        <v>201208.3258</v>
      </c>
      <c r="AA161" s="14">
        <f t="shared" si="7"/>
        <v>-130544595.3</v>
      </c>
      <c r="AB161" s="14">
        <f t="shared" si="5"/>
        <v>459610.1802</v>
      </c>
      <c r="AC161" s="14">
        <f>(E161+F161+G161+H161)*Drivers!B45</f>
        <v>0</v>
      </c>
      <c r="AD161" s="14">
        <f>IF(A161&lt;=Summary!B18,AB161+IF(A161=Summary!B18,Summary!B40,0),0)</f>
        <v>459610.1802</v>
      </c>
      <c r="AE161" s="14">
        <f>IF(A161&lt;=Summary!B18,Z161+IF(A161=Summary!B18,Summary!B40-Y161,0),0)</f>
        <v>201208.3258</v>
      </c>
      <c r="AF161" s="14">
        <f>AD161-IF(A161=0,Drivers!B44,0)</f>
        <v>459610.1802</v>
      </c>
      <c r="AG161" s="14">
        <f t="shared" si="8"/>
        <v>-120191795.1</v>
      </c>
    </row>
    <row r="162">
      <c r="A162" s="2">
        <v>160.0</v>
      </c>
      <c r="B162" s="15">
        <f>EDATE(Setup!B2,A162)</f>
        <v>51149</v>
      </c>
      <c r="C162" s="2" t="str">
        <f>IF(A162=0,"T0",IF(A162&lt;=Drivers!B19,"Preconstruction",IF(A162&lt;=(Drivers!B19+Drivers!B20),"Construction","Trading")))</f>
        <v>Trading</v>
      </c>
      <c r="D162" s="12">
        <f t="array" ref="D162">IF(AND(A162&gt;Drivers!B19,A162&lt;=(Drivers!B19+Drivers!B20)),SIN(PI()*(A162-Drivers!B19-0.5)/Drivers!B20)/SUMPRODUCT(SIN(PI()*(SEQUENCE(Drivers!B20,1)-0.5)/Drivers!B20)),0)</f>
        <v>0</v>
      </c>
      <c r="E162" s="14">
        <f>(Summary!B10+Summary!B12)*D162*(1+Drivers!B21)^(A162/12)</f>
        <v>0</v>
      </c>
      <c r="F162" s="14">
        <f>IF(AND(A162&gt;0,A162&lt;=Drivers!B19),Summary!B11*Drivers!B40/Drivers!B19*(1+Drivers!B21)^(A162/12),Summary!B11*(1-Drivers!B40 )*D162*(1+Drivers!B21)^(A162/12))</f>
        <v>0</v>
      </c>
      <c r="G162" s="14">
        <f>IF(AND(A162&gt;0,A162&lt;=2),Drivers!B16/2,0)</f>
        <v>0</v>
      </c>
      <c r="H162" s="14">
        <f>IF(A162=(Drivers!B19+Drivers!B20),Drivers!B17*(1+Drivers!B21)^(A162/12),0)</f>
        <v>0</v>
      </c>
      <c r="I162" s="14">
        <f>IF(AND(A162&gt;0,A162&lt;=(Drivers!B19+Drivers!B20)),Drivers!B18*(1+Drivers!B23)^(A162/12),0)</f>
        <v>0</v>
      </c>
      <c r="J162" s="14">
        <f t="shared" si="1"/>
        <v>0</v>
      </c>
      <c r="K162" s="12">
        <f>IF(A162&gt;(Drivers!B19+Drivers!B20),MIN(1,0.5+0.5*(A162-(Drivers!B19+Drivers!B20))/Drivers!B39),0)</f>
        <v>1</v>
      </c>
      <c r="L162" s="14">
        <f>Drivers!B2*(B162-B161)*Drivers!B24*(1+Drivers!B22)^(A162/12)*Drivers!B25*K162</f>
        <v>1412006.346</v>
      </c>
      <c r="M162" s="14">
        <f>L162*Drivers!B26</f>
        <v>282401.2692</v>
      </c>
      <c r="N162" s="14">
        <f>(L162+M162)*Drivers!B27</f>
        <v>593042.6654</v>
      </c>
      <c r="O162" s="14">
        <f>IF(A162&gt;(Drivers!B19+Drivers!B20),Drivers!B28/12*(1+Drivers!B23)^(A162/12),0)</f>
        <v>562328.294</v>
      </c>
      <c r="P162" s="14">
        <f>(L162+M162)*Drivers!B29</f>
        <v>67776.30462</v>
      </c>
      <c r="Q162" s="14">
        <f>Drivers!B3*Drivers!B30*(1+Drivers!B22)^(A162/12)*Drivers!B31*(1-Drivers!B32 )*K162</f>
        <v>107545.2862</v>
      </c>
      <c r="R162" s="14">
        <f>IF(A162&gt;(Drivers!B19+Drivers!B20),Drivers!B33/12*(1+Drivers!B23)^(A162/12),0)</f>
        <v>84349.2441</v>
      </c>
      <c r="S162" s="14">
        <f t="shared" si="2"/>
        <v>494456.3936</v>
      </c>
      <c r="T162" s="14">
        <f t="shared" si="6"/>
        <v>12178643.17</v>
      </c>
      <c r="U162" s="14">
        <f>IF(AND(A162&gt;Drivers!B19,A162&lt;=(Drivers!B19+Drivers!B20)),Summary!B31*D162,0)</f>
        <v>0</v>
      </c>
      <c r="V162" s="14">
        <f>IF(A162&lt;=(Drivers!B19+Drivers!B20),(T162+U162/2)*Drivers!B36/12,T162*Drivers!B36/12)</f>
        <v>116711.997</v>
      </c>
      <c r="W162" s="14">
        <f>IF(A162&gt;(Drivers!B19+Drivers!B20),MIN(T162,MAX(0,Summary!B32/12-V162)),0)</f>
        <v>141689.8574</v>
      </c>
      <c r="X162" s="14">
        <f>IF(A162=(Drivers!B19+1),Summary!B31*Drivers!B38,0)</f>
        <v>0</v>
      </c>
      <c r="Y162" s="14">
        <f t="shared" si="3"/>
        <v>12036953.31</v>
      </c>
      <c r="Z162" s="14">
        <f t="shared" si="4"/>
        <v>236054.5392</v>
      </c>
      <c r="AA162" s="14">
        <f t="shared" si="7"/>
        <v>-130308540.7</v>
      </c>
      <c r="AB162" s="14">
        <f t="shared" si="5"/>
        <v>494456.3936</v>
      </c>
      <c r="AC162" s="14">
        <f>(E162+F162+G162+H162)*Drivers!B45</f>
        <v>0</v>
      </c>
      <c r="AD162" s="14">
        <f>IF(A162&lt;=Summary!B18,AB162+IF(A162=Summary!B18,Summary!B40,0),0)</f>
        <v>494456.3936</v>
      </c>
      <c r="AE162" s="14">
        <f>IF(A162&lt;=Summary!B18,Z162+IF(A162=Summary!B18,Summary!B40-Y162,0),0)</f>
        <v>236054.5392</v>
      </c>
      <c r="AF162" s="14">
        <f>AD162-IF(A162=0,Drivers!B44,0)</f>
        <v>494456.3936</v>
      </c>
      <c r="AG162" s="14">
        <f t="shared" si="8"/>
        <v>-119697338.7</v>
      </c>
    </row>
    <row r="163">
      <c r="A163" s="2">
        <v>161.0</v>
      </c>
      <c r="B163" s="15">
        <f>EDATE(Setup!B2,A163)</f>
        <v>51180</v>
      </c>
      <c r="C163" s="2" t="str">
        <f>IF(A163=0,"T0",IF(A163&lt;=Drivers!B19,"Preconstruction",IF(A163&lt;=(Drivers!B19+Drivers!B20),"Construction","Trading")))</f>
        <v>Trading</v>
      </c>
      <c r="D163" s="12">
        <f t="array" ref="D163">IF(AND(A163&gt;Drivers!B19,A163&lt;=(Drivers!B19+Drivers!B20)),SIN(PI()*(A163-Drivers!B19-0.5)/Drivers!B20)/SUMPRODUCT(SIN(PI()*(SEQUENCE(Drivers!B20,1)-0.5)/Drivers!B20)),0)</f>
        <v>0</v>
      </c>
      <c r="E163" s="14">
        <f>(Summary!B10+Summary!B12)*D163*(1+Drivers!B21)^(A163/12)</f>
        <v>0</v>
      </c>
      <c r="F163" s="14">
        <f>IF(AND(A163&gt;0,A163&lt;=Drivers!B19),Summary!B11*Drivers!B40/Drivers!B19*(1+Drivers!B21)^(A163/12),Summary!B11*(1-Drivers!B40 )*D163*(1+Drivers!B21)^(A163/12))</f>
        <v>0</v>
      </c>
      <c r="G163" s="14">
        <f>IF(AND(A163&gt;0,A163&lt;=2),Drivers!B16/2,0)</f>
        <v>0</v>
      </c>
      <c r="H163" s="14">
        <f>IF(A163=(Drivers!B19+Drivers!B20),Drivers!B17*(1+Drivers!B21)^(A163/12),0)</f>
        <v>0</v>
      </c>
      <c r="I163" s="14">
        <f>IF(AND(A163&gt;0,A163&lt;=(Drivers!B19+Drivers!B20)),Drivers!B18*(1+Drivers!B23)^(A163/12),0)</f>
        <v>0</v>
      </c>
      <c r="J163" s="14">
        <f t="shared" si="1"/>
        <v>0</v>
      </c>
      <c r="K163" s="12">
        <f>IF(A163&gt;(Drivers!B19+Drivers!B20),MIN(1,0.5+0.5*(A163-(Drivers!B19+Drivers!B20))/Drivers!B39),0)</f>
        <v>1</v>
      </c>
      <c r="L163" s="14">
        <f>Drivers!B2*(B163-B162)*Drivers!B24*(1+Drivers!B22)^(A163/12)*Drivers!B25*K163</f>
        <v>1416628.888</v>
      </c>
      <c r="M163" s="14">
        <f>L163*Drivers!B26</f>
        <v>283325.7775</v>
      </c>
      <c r="N163" s="14">
        <f>(L163+M163)*Drivers!B27</f>
        <v>594984.1328</v>
      </c>
      <c r="O163" s="14">
        <f>IF(A163&gt;(Drivers!B19+Drivers!B20),Drivers!B28/12*(1+Drivers!B23)^(A163/12),0)</f>
        <v>564169.2105</v>
      </c>
      <c r="P163" s="14">
        <f>(L163+M163)*Drivers!B29</f>
        <v>67998.1866</v>
      </c>
      <c r="Q163" s="14">
        <f>Drivers!B3*Drivers!B30*(1+Drivers!B22)^(A163/12)*Drivers!B31*(1-Drivers!B32 )*K163</f>
        <v>107897.3615</v>
      </c>
      <c r="R163" s="14">
        <f>IF(A163&gt;(Drivers!B19+Drivers!B20),Drivers!B33/12*(1+Drivers!B23)^(A163/12),0)</f>
        <v>84625.38158</v>
      </c>
      <c r="S163" s="14">
        <f t="shared" si="2"/>
        <v>496075.1151</v>
      </c>
      <c r="T163" s="14">
        <f t="shared" si="6"/>
        <v>12036953.31</v>
      </c>
      <c r="U163" s="14">
        <f>IF(AND(A163&gt;Drivers!B19,A163&lt;=(Drivers!B19+Drivers!B20)),Summary!B31*D163,0)</f>
        <v>0</v>
      </c>
      <c r="V163" s="14">
        <f>IF(A163&lt;=(Drivers!B19+Drivers!B20),(T163+U163/2)*Drivers!B36/12,T163*Drivers!B36/12)</f>
        <v>115354.1359</v>
      </c>
      <c r="W163" s="14">
        <f>IF(A163&gt;(Drivers!B19+Drivers!B20),MIN(T163,MAX(0,Summary!B32/12-V163)),0)</f>
        <v>143047.7185</v>
      </c>
      <c r="X163" s="14">
        <f>IF(A163=(Drivers!B19+1),Summary!B31*Drivers!B38,0)</f>
        <v>0</v>
      </c>
      <c r="Y163" s="14">
        <f t="shared" si="3"/>
        <v>11893905.59</v>
      </c>
      <c r="Z163" s="14">
        <f t="shared" si="4"/>
        <v>237673.2607</v>
      </c>
      <c r="AA163" s="14">
        <f t="shared" si="7"/>
        <v>-130070867.5</v>
      </c>
      <c r="AB163" s="14">
        <f t="shared" si="5"/>
        <v>496075.1151</v>
      </c>
      <c r="AC163" s="14">
        <f>(E163+F163+G163+H163)*Drivers!B45</f>
        <v>0</v>
      </c>
      <c r="AD163" s="14">
        <f>IF(A163&lt;=Summary!B18,AB163+IF(A163=Summary!B18,Summary!B40,0),0)</f>
        <v>496075.1151</v>
      </c>
      <c r="AE163" s="14">
        <f>IF(A163&lt;=Summary!B18,Z163+IF(A163=Summary!B18,Summary!B40-Y163,0),0)</f>
        <v>237673.2607</v>
      </c>
      <c r="AF163" s="14">
        <f>AD163-IF(A163=0,Drivers!B44,0)</f>
        <v>496075.1151</v>
      </c>
      <c r="AG163" s="14">
        <f t="shared" si="8"/>
        <v>-119201263.6</v>
      </c>
    </row>
    <row r="164">
      <c r="A164" s="2">
        <v>162.0</v>
      </c>
      <c r="B164" s="15">
        <f>EDATE(Setup!B2,A164)</f>
        <v>51209</v>
      </c>
      <c r="C164" s="2" t="str">
        <f>IF(A164=0,"T0",IF(A164&lt;=Drivers!B19,"Preconstruction",IF(A164&lt;=(Drivers!B19+Drivers!B20),"Construction","Trading")))</f>
        <v>Trading</v>
      </c>
      <c r="D164" s="12">
        <f t="array" ref="D164">IF(AND(A164&gt;Drivers!B19,A164&lt;=(Drivers!B19+Drivers!B20)),SIN(PI()*(A164-Drivers!B19-0.5)/Drivers!B20)/SUMPRODUCT(SIN(PI()*(SEQUENCE(Drivers!B20,1)-0.5)/Drivers!B20)),0)</f>
        <v>0</v>
      </c>
      <c r="E164" s="14">
        <f>(Summary!B10+Summary!B12)*D164*(1+Drivers!B21)^(A164/12)</f>
        <v>0</v>
      </c>
      <c r="F164" s="14">
        <f>IF(AND(A164&gt;0,A164&lt;=Drivers!B19),Summary!B11*Drivers!B40/Drivers!B19*(1+Drivers!B21)^(A164/12),Summary!B11*(1-Drivers!B40 )*D164*(1+Drivers!B21)^(A164/12))</f>
        <v>0</v>
      </c>
      <c r="G164" s="14">
        <f>IF(AND(A164&gt;0,A164&lt;=2),Drivers!B16/2,0)</f>
        <v>0</v>
      </c>
      <c r="H164" s="14">
        <f>IF(A164=(Drivers!B19+Drivers!B20),Drivers!B17*(1+Drivers!B21)^(A164/12),0)</f>
        <v>0</v>
      </c>
      <c r="I164" s="14">
        <f>IF(AND(A164&gt;0,A164&lt;=(Drivers!B19+Drivers!B20)),Drivers!B18*(1+Drivers!B23)^(A164/12),0)</f>
        <v>0</v>
      </c>
      <c r="J164" s="14">
        <f t="shared" si="1"/>
        <v>0</v>
      </c>
      <c r="K164" s="12">
        <f>IF(A164&gt;(Drivers!B19+Drivers!B20),MIN(1,0.5+0.5*(A164-(Drivers!B19+Drivers!B20))/Drivers!B39),0)</f>
        <v>1</v>
      </c>
      <c r="L164" s="14">
        <f>Drivers!B2*(B164-B163)*Drivers!B24*(1+Drivers!B22)^(A164/12)*Drivers!B25*K164</f>
        <v>1329571.945</v>
      </c>
      <c r="M164" s="14">
        <f>L164*Drivers!B26</f>
        <v>265914.389</v>
      </c>
      <c r="N164" s="14">
        <f>(L164+M164)*Drivers!B27</f>
        <v>558420.2169</v>
      </c>
      <c r="O164" s="14">
        <f>IF(A164&gt;(Drivers!B19+Drivers!B20),Drivers!B28/12*(1+Drivers!B23)^(A164/12),0)</f>
        <v>566016.1537</v>
      </c>
      <c r="P164" s="14">
        <f>(L164+M164)*Drivers!B29</f>
        <v>63819.45336</v>
      </c>
      <c r="Q164" s="14">
        <f>Drivers!B3*Drivers!B30*(1+Drivers!B22)^(A164/12)*Drivers!B31*(1-Drivers!B32 )*K164</f>
        <v>108250.5894</v>
      </c>
      <c r="R164" s="14">
        <f>IF(A164&gt;(Drivers!B19+Drivers!B20),Drivers!B33/12*(1+Drivers!B23)^(A164/12),0)</f>
        <v>84902.42305</v>
      </c>
      <c r="S164" s="14">
        <f t="shared" si="2"/>
        <v>430578.6764</v>
      </c>
      <c r="T164" s="14">
        <f t="shared" si="6"/>
        <v>11893905.59</v>
      </c>
      <c r="U164" s="14">
        <f>IF(AND(A164&gt;Drivers!B19,A164&lt;=(Drivers!B19+Drivers!B20)),Summary!B31*D164,0)</f>
        <v>0</v>
      </c>
      <c r="V164" s="14">
        <f>IF(A164&lt;=(Drivers!B19+Drivers!B20),(T164+U164/2)*Drivers!B36/12,T164*Drivers!B36/12)</f>
        <v>113983.2619</v>
      </c>
      <c r="W164" s="14">
        <f>IF(A164&gt;(Drivers!B19+Drivers!B20),MIN(T164,MAX(0,Summary!B32/12-V164)),0)</f>
        <v>144418.5925</v>
      </c>
      <c r="X164" s="14">
        <f>IF(A164=(Drivers!B19+1),Summary!B31*Drivers!B38,0)</f>
        <v>0</v>
      </c>
      <c r="Y164" s="14">
        <f t="shared" si="3"/>
        <v>11749487</v>
      </c>
      <c r="Z164" s="14">
        <f t="shared" si="4"/>
        <v>172176.822</v>
      </c>
      <c r="AA164" s="14">
        <f t="shared" si="7"/>
        <v>-129898690.6</v>
      </c>
      <c r="AB164" s="14">
        <f t="shared" si="5"/>
        <v>430578.6764</v>
      </c>
      <c r="AC164" s="14">
        <f>(E164+F164+G164+H164)*Drivers!B45</f>
        <v>0</v>
      </c>
      <c r="AD164" s="14">
        <f>IF(A164&lt;=Summary!B18,AB164+IF(A164=Summary!B18,Summary!B40,0),0)</f>
        <v>57854922.88</v>
      </c>
      <c r="AE164" s="14">
        <f>IF(A164&lt;=Summary!B18,Z164+IF(A164=Summary!B18,Summary!B40-Y164,0),0)</f>
        <v>45847034.03</v>
      </c>
      <c r="AF164" s="14">
        <f>AD164-IF(A164=0,Drivers!B44,0)</f>
        <v>57854922.88</v>
      </c>
      <c r="AG164" s="14">
        <f t="shared" si="8"/>
        <v>-118770684.9</v>
      </c>
    </row>
    <row r="165">
      <c r="A165" s="2">
        <v>163.0</v>
      </c>
      <c r="B165" s="15">
        <f>EDATE(Setup!B2,A165)</f>
        <v>51240</v>
      </c>
      <c r="C165" s="2" t="str">
        <f>IF(A165=0,"T0",IF(A165&lt;=Drivers!B19,"Preconstruction",IF(A165&lt;=(Drivers!B19+Drivers!B20),"Construction","Trading")))</f>
        <v>Trading</v>
      </c>
      <c r="D165" s="12">
        <f t="array" ref="D165">IF(AND(A165&gt;Drivers!B19,A165&lt;=(Drivers!B19+Drivers!B20)),SIN(PI()*(A165-Drivers!B19-0.5)/Drivers!B20)/SUMPRODUCT(SIN(PI()*(SEQUENCE(Drivers!B20,1)-0.5)/Drivers!B20)),0)</f>
        <v>0</v>
      </c>
      <c r="E165" s="14">
        <f>(Summary!B10+Summary!B12)*D165*(1+Drivers!B21)^(A165/12)</f>
        <v>0</v>
      </c>
      <c r="F165" s="14">
        <f>IF(AND(A165&gt;0,A165&lt;=Drivers!B19),Summary!B11*Drivers!B40/Drivers!B19*(1+Drivers!B21)^(A165/12),Summary!B11*(1-Drivers!B40 )*D165*(1+Drivers!B21)^(A165/12))</f>
        <v>0</v>
      </c>
      <c r="G165" s="14">
        <f>IF(AND(A165&gt;0,A165&lt;=2),Drivers!B16/2,0)</f>
        <v>0</v>
      </c>
      <c r="H165" s="14">
        <f>IF(A165=(Drivers!B19+Drivers!B20),Drivers!B17*(1+Drivers!B21)^(A165/12),0)</f>
        <v>0</v>
      </c>
      <c r="I165" s="14">
        <f>IF(AND(A165&gt;0,A165&lt;=(Drivers!B19+Drivers!B20)),Drivers!B18*(1+Drivers!B23)^(A165/12),0)</f>
        <v>0</v>
      </c>
      <c r="J165" s="14">
        <f t="shared" si="1"/>
        <v>0</v>
      </c>
      <c r="K165" s="12">
        <f>IF(A165&gt;(Drivers!B19+Drivers!B20),MIN(1,0.5+0.5*(A165-(Drivers!B19+Drivers!B20))/Drivers!B39),0)</f>
        <v>1</v>
      </c>
      <c r="L165" s="14">
        <f>Drivers!B2*(B165-B164)*Drivers!B24*(1+Drivers!B22)^(A165/12)*Drivers!B25*K165</f>
        <v>1425919.419</v>
      </c>
      <c r="M165" s="14">
        <f>L165*Drivers!B26</f>
        <v>285183.8838</v>
      </c>
      <c r="N165" s="14">
        <f>(L165+M165)*Drivers!B27</f>
        <v>598886.1559</v>
      </c>
      <c r="O165" s="14">
        <f>IF(A165&gt;(Drivers!B19+Drivers!B20),Drivers!B28/12*(1+Drivers!B23)^(A165/12),0)</f>
        <v>567869.1433</v>
      </c>
      <c r="P165" s="14">
        <f>(L165+M165)*Drivers!B29</f>
        <v>68444.1321</v>
      </c>
      <c r="Q165" s="14">
        <f>Drivers!B3*Drivers!B30*(1+Drivers!B22)^(A165/12)*Drivers!B31*(1-Drivers!B32 )*K165</f>
        <v>108604.9737</v>
      </c>
      <c r="R165" s="14">
        <f>IF(A165&gt;(Drivers!B19+Drivers!B20),Drivers!B33/12*(1+Drivers!B23)^(A165/12),0)</f>
        <v>85180.37149</v>
      </c>
      <c r="S165" s="14">
        <f t="shared" si="2"/>
        <v>499328.4734</v>
      </c>
      <c r="T165" s="14">
        <f t="shared" si="6"/>
        <v>11749487</v>
      </c>
      <c r="U165" s="14">
        <f>IF(AND(A165&gt;Drivers!B19,A165&lt;=(Drivers!B19+Drivers!B20)),Summary!B31*D165,0)</f>
        <v>0</v>
      </c>
      <c r="V165" s="14">
        <f>IF(A165&lt;=(Drivers!B19+Drivers!B20),(T165+U165/2)*Drivers!B36/12,T165*Drivers!B36/12)</f>
        <v>112599.2504</v>
      </c>
      <c r="W165" s="14">
        <f>IF(A165&gt;(Drivers!B19+Drivers!B20),MIN(T165,MAX(0,Summary!B32/12-V165)),0)</f>
        <v>145802.604</v>
      </c>
      <c r="X165" s="14">
        <f>IF(A165=(Drivers!B19+1),Summary!B31*Drivers!B38,0)</f>
        <v>0</v>
      </c>
      <c r="Y165" s="14">
        <f t="shared" si="3"/>
        <v>11603684.39</v>
      </c>
      <c r="Z165" s="14">
        <f t="shared" si="4"/>
        <v>240926.619</v>
      </c>
      <c r="AA165" s="14">
        <f t="shared" si="7"/>
        <v>-129657764</v>
      </c>
      <c r="AB165" s="14">
        <f t="shared" si="5"/>
        <v>499328.4734</v>
      </c>
      <c r="AC165" s="14">
        <f>(E165+F165+G165+H165)*Drivers!B45</f>
        <v>0</v>
      </c>
      <c r="AD165" s="14">
        <f>IF(A165&lt;=Summary!B18,AB165+IF(A165=Summary!B18,Summary!B40,0),0)</f>
        <v>0</v>
      </c>
      <c r="AE165" s="14">
        <f>IF(A165&lt;=Summary!B18,Z165+IF(A165=Summary!B18,Summary!B40-Y165,0),0)</f>
        <v>0</v>
      </c>
      <c r="AF165" s="14">
        <f>AD165-IF(A165=0,Drivers!B44,0)</f>
        <v>0</v>
      </c>
      <c r="AG165" s="14">
        <f t="shared" si="8"/>
        <v>-118271356.4</v>
      </c>
    </row>
    <row r="166">
      <c r="A166" s="2">
        <v>164.0</v>
      </c>
      <c r="B166" s="15">
        <f>EDATE(Setup!B2,A166)</f>
        <v>51270</v>
      </c>
      <c r="C166" s="2" t="str">
        <f>IF(A166=0,"T0",IF(A166&lt;=Drivers!B19,"Preconstruction",IF(A166&lt;=(Drivers!B19+Drivers!B20),"Construction","Trading")))</f>
        <v>Trading</v>
      </c>
      <c r="D166" s="12">
        <f t="array" ref="D166">IF(AND(A166&gt;Drivers!B19,A166&lt;=(Drivers!B19+Drivers!B20)),SIN(PI()*(A166-Drivers!B19-0.5)/Drivers!B20)/SUMPRODUCT(SIN(PI()*(SEQUENCE(Drivers!B20,1)-0.5)/Drivers!B20)),0)</f>
        <v>0</v>
      </c>
      <c r="E166" s="14">
        <f>(Summary!B10+Summary!B12)*D166*(1+Drivers!B21)^(A166/12)</f>
        <v>0</v>
      </c>
      <c r="F166" s="14">
        <f>IF(AND(A166&gt;0,A166&lt;=Drivers!B19),Summary!B11*Drivers!B40/Drivers!B19*(1+Drivers!B21)^(A166/12),Summary!B11*(1-Drivers!B40 )*D166*(1+Drivers!B21)^(A166/12))</f>
        <v>0</v>
      </c>
      <c r="G166" s="14">
        <f>IF(AND(A166&gt;0,A166&lt;=2),Drivers!B16/2,0)</f>
        <v>0</v>
      </c>
      <c r="H166" s="14">
        <f>IF(A166=(Drivers!B19+Drivers!B20),Drivers!B17*(1+Drivers!B21)^(A166/12),0)</f>
        <v>0</v>
      </c>
      <c r="I166" s="14">
        <f>IF(AND(A166&gt;0,A166&lt;=(Drivers!B19+Drivers!B20)),Drivers!B18*(1+Drivers!B23)^(A166/12),0)</f>
        <v>0</v>
      </c>
      <c r="J166" s="14">
        <f t="shared" si="1"/>
        <v>0</v>
      </c>
      <c r="K166" s="12">
        <f>IF(A166&gt;(Drivers!B19+Drivers!B20),MIN(1,0.5+0.5*(A166-(Drivers!B19+Drivers!B20))/Drivers!B39),0)</f>
        <v>1</v>
      </c>
      <c r="L166" s="14">
        <f>Drivers!B2*(B166-B165)*Drivers!B24*(1+Drivers!B22)^(A166/12)*Drivers!B25*K166</f>
        <v>1384439.524</v>
      </c>
      <c r="M166" s="14">
        <f>L166*Drivers!B26</f>
        <v>276887.9048</v>
      </c>
      <c r="N166" s="14">
        <f>(L166+M166)*Drivers!B27</f>
        <v>581464.6</v>
      </c>
      <c r="O166" s="14">
        <f>IF(A166&gt;(Drivers!B19+Drivers!B20),Drivers!B28/12*(1+Drivers!B23)^(A166/12),0)</f>
        <v>569728.1991</v>
      </c>
      <c r="P166" s="14">
        <f>(L166+M166)*Drivers!B29</f>
        <v>66453.09714</v>
      </c>
      <c r="Q166" s="14">
        <f>Drivers!B3*Drivers!B30*(1+Drivers!B22)^(A166/12)*Drivers!B31*(1-Drivers!B32 )*K166</f>
        <v>108960.5181</v>
      </c>
      <c r="R166" s="14">
        <f>IF(A166&gt;(Drivers!B19+Drivers!B20),Drivers!B33/12*(1+Drivers!B23)^(A166/12),0)</f>
        <v>85459.22986</v>
      </c>
      <c r="S166" s="14">
        <f t="shared" si="2"/>
        <v>467182.8205</v>
      </c>
      <c r="T166" s="14">
        <f t="shared" si="6"/>
        <v>11603684.39</v>
      </c>
      <c r="U166" s="14">
        <f>IF(AND(A166&gt;Drivers!B19,A166&lt;=(Drivers!B19+Drivers!B20)),Summary!B31*D166,0)</f>
        <v>0</v>
      </c>
      <c r="V166" s="14">
        <f>IF(A166&lt;=(Drivers!B19+Drivers!B20),(T166+U166/2)*Drivers!B36/12,T166*Drivers!B36/12)</f>
        <v>111201.9754</v>
      </c>
      <c r="W166" s="14">
        <f>IF(A166&gt;(Drivers!B19+Drivers!B20),MIN(T166,MAX(0,Summary!B32/12-V166)),0)</f>
        <v>147199.879</v>
      </c>
      <c r="X166" s="14">
        <f>IF(A166=(Drivers!B19+1),Summary!B31*Drivers!B38,0)</f>
        <v>0</v>
      </c>
      <c r="Y166" s="14">
        <f t="shared" si="3"/>
        <v>11456484.52</v>
      </c>
      <c r="Z166" s="14">
        <f t="shared" si="4"/>
        <v>208780.9661</v>
      </c>
      <c r="AA166" s="14">
        <f t="shared" si="7"/>
        <v>-129448983.1</v>
      </c>
      <c r="AB166" s="14">
        <f t="shared" si="5"/>
        <v>467182.8205</v>
      </c>
      <c r="AC166" s="14">
        <f>(E166+F166+G166+H166)*Drivers!B45</f>
        <v>0</v>
      </c>
      <c r="AD166" s="14">
        <f>IF(A166&lt;=Summary!B18,AB166+IF(A166=Summary!B18,Summary!B40,0),0)</f>
        <v>0</v>
      </c>
      <c r="AE166" s="14">
        <f>IF(A166&lt;=Summary!B18,Z166+IF(A166=Summary!B18,Summary!B40-Y166,0),0)</f>
        <v>0</v>
      </c>
      <c r="AF166" s="14">
        <f>AD166-IF(A166=0,Drivers!B44,0)</f>
        <v>0</v>
      </c>
      <c r="AG166" s="14">
        <f t="shared" si="8"/>
        <v>-117804173.6</v>
      </c>
    </row>
    <row r="167">
      <c r="A167" s="2">
        <v>165.0</v>
      </c>
      <c r="B167" s="15">
        <f>EDATE(Setup!B2,A167)</f>
        <v>51301</v>
      </c>
      <c r="C167" s="2" t="str">
        <f>IF(A167=0,"T0",IF(A167&lt;=Drivers!B19,"Preconstruction",IF(A167&lt;=(Drivers!B19+Drivers!B20),"Construction","Trading")))</f>
        <v>Trading</v>
      </c>
      <c r="D167" s="12">
        <f t="array" ref="D167">IF(AND(A167&gt;Drivers!B19,A167&lt;=(Drivers!B19+Drivers!B20)),SIN(PI()*(A167-Drivers!B19-0.5)/Drivers!B20)/SUMPRODUCT(SIN(PI()*(SEQUENCE(Drivers!B20,1)-0.5)/Drivers!B20)),0)</f>
        <v>0</v>
      </c>
      <c r="E167" s="14">
        <f>(Summary!B10+Summary!B12)*D167*(1+Drivers!B21)^(A167/12)</f>
        <v>0</v>
      </c>
      <c r="F167" s="14">
        <f>IF(AND(A167&gt;0,A167&lt;=Drivers!B19),Summary!B11*Drivers!B40/Drivers!B19*(1+Drivers!B21)^(A167/12),Summary!B11*(1-Drivers!B40 )*D167*(1+Drivers!B21)^(A167/12))</f>
        <v>0</v>
      </c>
      <c r="G167" s="14">
        <f>IF(AND(A167&gt;0,A167&lt;=2),Drivers!B16/2,0)</f>
        <v>0</v>
      </c>
      <c r="H167" s="14">
        <f>IF(A167=(Drivers!B19+Drivers!B20),Drivers!B17*(1+Drivers!B21)^(A167/12),0)</f>
        <v>0</v>
      </c>
      <c r="I167" s="14">
        <f>IF(AND(A167&gt;0,A167&lt;=(Drivers!B19+Drivers!B20)),Drivers!B18*(1+Drivers!B23)^(A167/12),0)</f>
        <v>0</v>
      </c>
      <c r="J167" s="14">
        <f t="shared" si="1"/>
        <v>0</v>
      </c>
      <c r="K167" s="12">
        <f>IF(A167&gt;(Drivers!B19+Drivers!B20),MIN(1,0.5+0.5*(A167-(Drivers!B19+Drivers!B20))/Drivers!B39),0)</f>
        <v>1</v>
      </c>
      <c r="L167" s="14">
        <f>Drivers!B2*(B167-B166)*Drivers!B24*(1+Drivers!B22)^(A167/12)*Drivers!B25*K167</f>
        <v>1435270.879</v>
      </c>
      <c r="M167" s="14">
        <f>L167*Drivers!B26</f>
        <v>287054.1758</v>
      </c>
      <c r="N167" s="14">
        <f>(L167+M167)*Drivers!B27</f>
        <v>602813.7692</v>
      </c>
      <c r="O167" s="14">
        <f>IF(A167&gt;(Drivers!B19+Drivers!B20),Drivers!B28/12*(1+Drivers!B23)^(A167/12),0)</f>
        <v>571593.341</v>
      </c>
      <c r="P167" s="14">
        <f>(L167+M167)*Drivers!B29</f>
        <v>68893.0022</v>
      </c>
      <c r="Q167" s="14">
        <f>Drivers!B3*Drivers!B30*(1+Drivers!B22)^(A167/12)*Drivers!B31*(1-Drivers!B32 )*K167</f>
        <v>109317.2265</v>
      </c>
      <c r="R167" s="14">
        <f>IF(A167&gt;(Drivers!B19+Drivers!B20),Drivers!B33/12*(1+Drivers!B23)^(A167/12),0)</f>
        <v>85739.00114</v>
      </c>
      <c r="S167" s="14">
        <f t="shared" si="2"/>
        <v>502603.1679</v>
      </c>
      <c r="T167" s="14">
        <f t="shared" si="6"/>
        <v>11456484.52</v>
      </c>
      <c r="U167" s="14">
        <f>IF(AND(A167&gt;Drivers!B19,A167&lt;=(Drivers!B19+Drivers!B20)),Summary!B31*D167,0)</f>
        <v>0</v>
      </c>
      <c r="V167" s="14">
        <f>IF(A167&lt;=(Drivers!B19+Drivers!B20),(T167+U167/2)*Drivers!B36/12,T167*Drivers!B36/12)</f>
        <v>109791.3099</v>
      </c>
      <c r="W167" s="14">
        <f>IF(A167&gt;(Drivers!B19+Drivers!B20),MIN(T167,MAX(0,Summary!B32/12-V167)),0)</f>
        <v>148610.5445</v>
      </c>
      <c r="X167" s="14">
        <f>IF(A167=(Drivers!B19+1),Summary!B31*Drivers!B38,0)</f>
        <v>0</v>
      </c>
      <c r="Y167" s="14">
        <f t="shared" si="3"/>
        <v>11307873.97</v>
      </c>
      <c r="Z167" s="14">
        <f t="shared" si="4"/>
        <v>244201.3135</v>
      </c>
      <c r="AA167" s="14">
        <f t="shared" si="7"/>
        <v>-129204781.8</v>
      </c>
      <c r="AB167" s="14">
        <f t="shared" si="5"/>
        <v>502603.1679</v>
      </c>
      <c r="AC167" s="14">
        <f>(E167+F167+G167+H167)*Drivers!B45</f>
        <v>0</v>
      </c>
      <c r="AD167" s="14">
        <f>IF(A167&lt;=Summary!B18,AB167+IF(A167=Summary!B18,Summary!B40,0),0)</f>
        <v>0</v>
      </c>
      <c r="AE167" s="14">
        <f>IF(A167&lt;=Summary!B18,Z167+IF(A167=Summary!B18,Summary!B40-Y167,0),0)</f>
        <v>0</v>
      </c>
      <c r="AF167" s="14">
        <f>AD167-IF(A167=0,Drivers!B44,0)</f>
        <v>0</v>
      </c>
      <c r="AG167" s="14">
        <f t="shared" si="8"/>
        <v>-117301570.4</v>
      </c>
    </row>
    <row r="168">
      <c r="A168" s="2">
        <v>166.0</v>
      </c>
      <c r="B168" s="15">
        <f>EDATE(Setup!B2,A168)</f>
        <v>51331</v>
      </c>
      <c r="C168" s="2" t="str">
        <f>IF(A168=0,"T0",IF(A168&lt;=Drivers!B19,"Preconstruction",IF(A168&lt;=(Drivers!B19+Drivers!B20),"Construction","Trading")))</f>
        <v>Trading</v>
      </c>
      <c r="D168" s="12">
        <f t="array" ref="D168">IF(AND(A168&gt;Drivers!B19,A168&lt;=(Drivers!B19+Drivers!B20)),SIN(PI()*(A168-Drivers!B19-0.5)/Drivers!B20)/SUMPRODUCT(SIN(PI()*(SEQUENCE(Drivers!B20,1)-0.5)/Drivers!B20)),0)</f>
        <v>0</v>
      </c>
      <c r="E168" s="14">
        <f>(Summary!B10+Summary!B12)*D168*(1+Drivers!B21)^(A168/12)</f>
        <v>0</v>
      </c>
      <c r="F168" s="14">
        <f>IF(AND(A168&gt;0,A168&lt;=Drivers!B19),Summary!B11*Drivers!B40/Drivers!B19*(1+Drivers!B21)^(A168/12),Summary!B11*(1-Drivers!B40 )*D168*(1+Drivers!B21)^(A168/12))</f>
        <v>0</v>
      </c>
      <c r="G168" s="14">
        <f>IF(AND(A168&gt;0,A168&lt;=2),Drivers!B16/2,0)</f>
        <v>0</v>
      </c>
      <c r="H168" s="14">
        <f>IF(A168=(Drivers!B19+Drivers!B20),Drivers!B17*(1+Drivers!B21)^(A168/12),0)</f>
        <v>0</v>
      </c>
      <c r="I168" s="14">
        <f>IF(AND(A168&gt;0,A168&lt;=(Drivers!B19+Drivers!B20)),Drivers!B18*(1+Drivers!B23)^(A168/12),0)</f>
        <v>0</v>
      </c>
      <c r="J168" s="14">
        <f t="shared" si="1"/>
        <v>0</v>
      </c>
      <c r="K168" s="12">
        <f>IF(A168&gt;(Drivers!B19+Drivers!B20),MIN(1,0.5+0.5*(A168-(Drivers!B19+Drivers!B20))/Drivers!B39),0)</f>
        <v>1</v>
      </c>
      <c r="L168" s="14">
        <f>Drivers!B2*(B168-B167)*Drivers!B24*(1+Drivers!B22)^(A168/12)*Drivers!B25*K168</f>
        <v>1393518.951</v>
      </c>
      <c r="M168" s="14">
        <f>L168*Drivers!B26</f>
        <v>278703.7902</v>
      </c>
      <c r="N168" s="14">
        <f>(L168+M168)*Drivers!B27</f>
        <v>585277.9594</v>
      </c>
      <c r="O168" s="14">
        <f>IF(A168&gt;(Drivers!B19+Drivers!B20),Drivers!B28/12*(1+Drivers!B23)^(A168/12),0)</f>
        <v>573464.5888</v>
      </c>
      <c r="P168" s="14">
        <f>(L168+M168)*Drivers!B29</f>
        <v>66888.90964</v>
      </c>
      <c r="Q168" s="14">
        <f>Drivers!B3*Drivers!B30*(1+Drivers!B22)^(A168/12)*Drivers!B31*(1-Drivers!B32 )*K168</f>
        <v>109675.1026</v>
      </c>
      <c r="R168" s="14">
        <f>IF(A168&gt;(Drivers!B19+Drivers!B20),Drivers!B33/12*(1+Drivers!B23)^(A168/12),0)</f>
        <v>86019.68832</v>
      </c>
      <c r="S168" s="14">
        <f t="shared" si="2"/>
        <v>470246.6975</v>
      </c>
      <c r="T168" s="14">
        <f t="shared" si="6"/>
        <v>11307873.97</v>
      </c>
      <c r="U168" s="14">
        <f>IF(AND(A168&gt;Drivers!B19,A168&lt;=(Drivers!B19+Drivers!B20)),Summary!B31*D168,0)</f>
        <v>0</v>
      </c>
      <c r="V168" s="14">
        <f>IF(A168&lt;=(Drivers!B19+Drivers!B20),(T168+U168/2)*Drivers!B36/12,T168*Drivers!B36/12)</f>
        <v>108367.1256</v>
      </c>
      <c r="W168" s="14">
        <f>IF(A168&gt;(Drivers!B19+Drivers!B20),MIN(T168,MAX(0,Summary!B32/12-V168)),0)</f>
        <v>150034.7289</v>
      </c>
      <c r="X168" s="14">
        <f>IF(A168=(Drivers!B19+1),Summary!B31*Drivers!B38,0)</f>
        <v>0</v>
      </c>
      <c r="Y168" s="14">
        <f t="shared" si="3"/>
        <v>11157839.24</v>
      </c>
      <c r="Z168" s="14">
        <f t="shared" si="4"/>
        <v>211844.8431</v>
      </c>
      <c r="AA168" s="14">
        <f t="shared" si="7"/>
        <v>-128992936.9</v>
      </c>
      <c r="AB168" s="14">
        <f t="shared" si="5"/>
        <v>470246.6975</v>
      </c>
      <c r="AC168" s="14">
        <f>(E168+F168+G168+H168)*Drivers!B45</f>
        <v>0</v>
      </c>
      <c r="AD168" s="14">
        <f>IF(A168&lt;=Summary!B18,AB168+IF(A168=Summary!B18,Summary!B40,0),0)</f>
        <v>0</v>
      </c>
      <c r="AE168" s="14">
        <f>IF(A168&lt;=Summary!B18,Z168+IF(A168=Summary!B18,Summary!B40-Y168,0),0)</f>
        <v>0</v>
      </c>
      <c r="AF168" s="14">
        <f>AD168-IF(A168=0,Drivers!B44,0)</f>
        <v>0</v>
      </c>
      <c r="AG168" s="14">
        <f t="shared" si="8"/>
        <v>-116831323.7</v>
      </c>
    </row>
    <row r="169">
      <c r="A169" s="2">
        <v>167.0</v>
      </c>
      <c r="B169" s="15">
        <f>EDATE(Setup!B2,A169)</f>
        <v>51362</v>
      </c>
      <c r="C169" s="2" t="str">
        <f>IF(A169=0,"T0",IF(A169&lt;=Drivers!B19,"Preconstruction",IF(A169&lt;=(Drivers!B19+Drivers!B20),"Construction","Trading")))</f>
        <v>Trading</v>
      </c>
      <c r="D169" s="12">
        <f t="array" ref="D169">IF(AND(A169&gt;Drivers!B19,A169&lt;=(Drivers!B19+Drivers!B20)),SIN(PI()*(A169-Drivers!B19-0.5)/Drivers!B20)/SUMPRODUCT(SIN(PI()*(SEQUENCE(Drivers!B20,1)-0.5)/Drivers!B20)),0)</f>
        <v>0</v>
      </c>
      <c r="E169" s="14">
        <f>(Summary!B10+Summary!B12)*D169*(1+Drivers!B21)^(A169/12)</f>
        <v>0</v>
      </c>
      <c r="F169" s="14">
        <f>IF(AND(A169&gt;0,A169&lt;=Drivers!B19),Summary!B11*Drivers!B40/Drivers!B19*(1+Drivers!B21)^(A169/12),Summary!B11*(1-Drivers!B40 )*D169*(1+Drivers!B21)^(A169/12))</f>
        <v>0</v>
      </c>
      <c r="G169" s="14">
        <f>IF(AND(A169&gt;0,A169&lt;=2),Drivers!B16/2,0)</f>
        <v>0</v>
      </c>
      <c r="H169" s="14">
        <f>IF(A169=(Drivers!B19+Drivers!B20),Drivers!B17*(1+Drivers!B21)^(A169/12),0)</f>
        <v>0</v>
      </c>
      <c r="I169" s="14">
        <f>IF(AND(A169&gt;0,A169&lt;=(Drivers!B19+Drivers!B20)),Drivers!B18*(1+Drivers!B23)^(A169/12),0)</f>
        <v>0</v>
      </c>
      <c r="J169" s="14">
        <f t="shared" si="1"/>
        <v>0</v>
      </c>
      <c r="K169" s="12">
        <f>IF(A169&gt;(Drivers!B19+Drivers!B20),MIN(1,0.5+0.5*(A169-(Drivers!B19+Drivers!B20))/Drivers!B39),0)</f>
        <v>1</v>
      </c>
      <c r="L169" s="14">
        <f>Drivers!B2*(B169-B168)*Drivers!B24*(1+Drivers!B22)^(A169/12)*Drivers!B25*K169</f>
        <v>1444683.668</v>
      </c>
      <c r="M169" s="14">
        <f>L169*Drivers!B26</f>
        <v>288936.7336</v>
      </c>
      <c r="N169" s="14">
        <f>(L169+M169)*Drivers!B27</f>
        <v>606767.1407</v>
      </c>
      <c r="O169" s="14">
        <f>IF(A169&gt;(Drivers!B19+Drivers!B20),Drivers!B28/12*(1+Drivers!B23)^(A169/12),0)</f>
        <v>575341.9627</v>
      </c>
      <c r="P169" s="14">
        <f>(L169+M169)*Drivers!B29</f>
        <v>69344.81608</v>
      </c>
      <c r="Q169" s="14">
        <f>Drivers!B3*Drivers!B30*(1+Drivers!B22)^(A169/12)*Drivers!B31*(1-Drivers!B32 )*K169</f>
        <v>110034.1504</v>
      </c>
      <c r="R169" s="14">
        <f>IF(A169&gt;(Drivers!B19+Drivers!B20),Drivers!B33/12*(1+Drivers!B23)^(A169/12),0)</f>
        <v>86301.2944</v>
      </c>
      <c r="S169" s="14">
        <f t="shared" si="2"/>
        <v>505899.3385</v>
      </c>
      <c r="T169" s="14">
        <f t="shared" si="6"/>
        <v>11157839.24</v>
      </c>
      <c r="U169" s="14">
        <f>IF(AND(A169&gt;Drivers!B19,A169&lt;=(Drivers!B19+Drivers!B20)),Summary!B31*D169,0)</f>
        <v>0</v>
      </c>
      <c r="V169" s="14">
        <f>IF(A169&lt;=(Drivers!B19+Drivers!B20),(T169+U169/2)*Drivers!B36/12,T169*Drivers!B36/12)</f>
        <v>106929.2927</v>
      </c>
      <c r="W169" s="14">
        <f>IF(A169&gt;(Drivers!B19+Drivers!B20),MIN(T169,MAX(0,Summary!B32/12-V169)),0)</f>
        <v>151472.5617</v>
      </c>
      <c r="X169" s="14">
        <f>IF(A169=(Drivers!B19+1),Summary!B31*Drivers!B38,0)</f>
        <v>0</v>
      </c>
      <c r="Y169" s="14">
        <f t="shared" si="3"/>
        <v>11006366.68</v>
      </c>
      <c r="Z169" s="14">
        <f t="shared" si="4"/>
        <v>247497.484</v>
      </c>
      <c r="AA169" s="14">
        <f t="shared" si="7"/>
        <v>-128745439.4</v>
      </c>
      <c r="AB169" s="14">
        <f t="shared" si="5"/>
        <v>505899.3385</v>
      </c>
      <c r="AC169" s="14">
        <f>(E169+F169+G169+H169)*Drivers!B45</f>
        <v>0</v>
      </c>
      <c r="AD169" s="14">
        <f>IF(A169&lt;=Summary!B18,AB169+IF(A169=Summary!B18,Summary!B40,0),0)</f>
        <v>0</v>
      </c>
      <c r="AE169" s="14">
        <f>IF(A169&lt;=Summary!B18,Z169+IF(A169=Summary!B18,Summary!B40-Y169,0),0)</f>
        <v>0</v>
      </c>
      <c r="AF169" s="14">
        <f>AD169-IF(A169=0,Drivers!B44,0)</f>
        <v>0</v>
      </c>
      <c r="AG169" s="14">
        <f t="shared" si="8"/>
        <v>-116325424.4</v>
      </c>
    </row>
    <row r="170">
      <c r="A170" s="2">
        <v>168.0</v>
      </c>
      <c r="B170" s="15">
        <f>EDATE(Setup!B2,A170)</f>
        <v>51393</v>
      </c>
      <c r="C170" s="2" t="str">
        <f>IF(A170=0,"T0",IF(A170&lt;=Drivers!B19,"Preconstruction",IF(A170&lt;=(Drivers!B19+Drivers!B20),"Construction","Trading")))</f>
        <v>Trading</v>
      </c>
      <c r="D170" s="12">
        <f t="array" ref="D170">IF(AND(A170&gt;Drivers!B19,A170&lt;=(Drivers!B19+Drivers!B20)),SIN(PI()*(A170-Drivers!B19-0.5)/Drivers!B20)/SUMPRODUCT(SIN(PI()*(SEQUENCE(Drivers!B20,1)-0.5)/Drivers!B20)),0)</f>
        <v>0</v>
      </c>
      <c r="E170" s="14">
        <f>(Summary!B10+Summary!B12)*D170*(1+Drivers!B21)^(A170/12)</f>
        <v>0</v>
      </c>
      <c r="F170" s="14">
        <f>IF(AND(A170&gt;0,A170&lt;=Drivers!B19),Summary!B11*Drivers!B40/Drivers!B19*(1+Drivers!B21)^(A170/12),Summary!B11*(1-Drivers!B40 )*D170*(1+Drivers!B21)^(A170/12))</f>
        <v>0</v>
      </c>
      <c r="G170" s="14">
        <f>IF(AND(A170&gt;0,A170&lt;=2),Drivers!B16/2,0)</f>
        <v>0</v>
      </c>
      <c r="H170" s="14">
        <f>IF(A170=(Drivers!B19+Drivers!B20),Drivers!B17*(1+Drivers!B21)^(A170/12),0)</f>
        <v>0</v>
      </c>
      <c r="I170" s="14">
        <f>IF(AND(A170&gt;0,A170&lt;=(Drivers!B19+Drivers!B20)),Drivers!B18*(1+Drivers!B23)^(A170/12),0)</f>
        <v>0</v>
      </c>
      <c r="J170" s="14">
        <f t="shared" si="1"/>
        <v>0</v>
      </c>
      <c r="K170" s="12">
        <f>IF(A170&gt;(Drivers!B19+Drivers!B20),MIN(1,0.5+0.5*(A170-(Drivers!B19+Drivers!B20))/Drivers!B39),0)</f>
        <v>1</v>
      </c>
      <c r="L170" s="14">
        <f>Drivers!B2*(B170-B169)*Drivers!B24*(1+Drivers!B22)^(A170/12)*Drivers!B25*K170</f>
        <v>1449413.187</v>
      </c>
      <c r="M170" s="14">
        <f>L170*Drivers!B26</f>
        <v>289882.6373</v>
      </c>
      <c r="N170" s="14">
        <f>(L170+M170)*Drivers!B27</f>
        <v>608753.5384</v>
      </c>
      <c r="O170" s="14">
        <f>IF(A170&gt;(Drivers!B19+Drivers!B20),Drivers!B28/12*(1+Drivers!B23)^(A170/12),0)</f>
        <v>577225.4825</v>
      </c>
      <c r="P170" s="14">
        <f>(L170+M170)*Drivers!B29</f>
        <v>69571.83296</v>
      </c>
      <c r="Q170" s="14">
        <f>Drivers!B3*Drivers!B30*(1+Drivers!B22)^(A170/12)*Drivers!B31*(1-Drivers!B32 )*K170</f>
        <v>110394.3735</v>
      </c>
      <c r="R170" s="14">
        <f>IF(A170&gt;(Drivers!B19+Drivers!B20),Drivers!B33/12*(1+Drivers!B23)^(A170/12),0)</f>
        <v>86583.82238</v>
      </c>
      <c r="S170" s="14">
        <f t="shared" si="2"/>
        <v>507555.5212</v>
      </c>
      <c r="T170" s="14">
        <f t="shared" si="6"/>
        <v>11006366.68</v>
      </c>
      <c r="U170" s="14">
        <f>IF(AND(A170&gt;Drivers!B19,A170&lt;=(Drivers!B19+Drivers!B20)),Summary!B31*D170,0)</f>
        <v>0</v>
      </c>
      <c r="V170" s="14">
        <f>IF(A170&lt;=(Drivers!B19+Drivers!B20),(T170+U170/2)*Drivers!B36/12,T170*Drivers!B36/12)</f>
        <v>105477.6807</v>
      </c>
      <c r="W170" s="14">
        <f>IF(A170&gt;(Drivers!B19+Drivers!B20),MIN(T170,MAX(0,Summary!B32/12-V170)),0)</f>
        <v>152924.1737</v>
      </c>
      <c r="X170" s="14">
        <f>IF(A170=(Drivers!B19+1),Summary!B31*Drivers!B38,0)</f>
        <v>0</v>
      </c>
      <c r="Y170" s="14">
        <f t="shared" si="3"/>
        <v>10853442.51</v>
      </c>
      <c r="Z170" s="14">
        <f t="shared" si="4"/>
        <v>249153.6668</v>
      </c>
      <c r="AA170" s="14">
        <f t="shared" si="7"/>
        <v>-128496285.8</v>
      </c>
      <c r="AB170" s="14">
        <f t="shared" si="5"/>
        <v>507555.5212</v>
      </c>
      <c r="AC170" s="14">
        <f>(E170+F170+G170+H170)*Drivers!B45</f>
        <v>0</v>
      </c>
      <c r="AD170" s="14">
        <f>IF(A170&lt;=Summary!B18,AB170+IF(A170=Summary!B18,Summary!B40,0),0)</f>
        <v>0</v>
      </c>
      <c r="AE170" s="14">
        <f>IF(A170&lt;=Summary!B18,Z170+IF(A170=Summary!B18,Summary!B40-Y170,0),0)</f>
        <v>0</v>
      </c>
      <c r="AF170" s="14">
        <f>AD170-IF(A170=0,Drivers!B44,0)</f>
        <v>0</v>
      </c>
      <c r="AG170" s="14">
        <f t="shared" si="8"/>
        <v>-115817868.9</v>
      </c>
    </row>
    <row r="171">
      <c r="A171" s="2">
        <v>169.0</v>
      </c>
      <c r="B171" s="15">
        <f>EDATE(Setup!B2,A171)</f>
        <v>51423</v>
      </c>
      <c r="C171" s="2" t="str">
        <f>IF(A171=0,"T0",IF(A171&lt;=Drivers!B19,"Preconstruction",IF(A171&lt;=(Drivers!B19+Drivers!B20),"Construction","Trading")))</f>
        <v>Trading</v>
      </c>
      <c r="D171" s="12">
        <f t="array" ref="D171">IF(AND(A171&gt;Drivers!B19,A171&lt;=(Drivers!B19+Drivers!B20)),SIN(PI()*(A171-Drivers!B19-0.5)/Drivers!B20)/SUMPRODUCT(SIN(PI()*(SEQUENCE(Drivers!B20,1)-0.5)/Drivers!B20)),0)</f>
        <v>0</v>
      </c>
      <c r="E171" s="14">
        <f>(Summary!B10+Summary!B12)*D171*(1+Drivers!B21)^(A171/12)</f>
        <v>0</v>
      </c>
      <c r="F171" s="14">
        <f>IF(AND(A171&gt;0,A171&lt;=Drivers!B19),Summary!B11*Drivers!B40/Drivers!B19*(1+Drivers!B21)^(A171/12),Summary!B11*(1-Drivers!B40 )*D171*(1+Drivers!B21)^(A171/12))</f>
        <v>0</v>
      </c>
      <c r="G171" s="14">
        <f>IF(AND(A171&gt;0,A171&lt;=2),Drivers!B16/2,0)</f>
        <v>0</v>
      </c>
      <c r="H171" s="14">
        <f>IF(A171=(Drivers!B19+Drivers!B20),Drivers!B17*(1+Drivers!B21)^(A171/12),0)</f>
        <v>0</v>
      </c>
      <c r="I171" s="14">
        <f>IF(AND(A171&gt;0,A171&lt;=(Drivers!B19+Drivers!B20)),Drivers!B18*(1+Drivers!B23)^(A171/12),0)</f>
        <v>0</v>
      </c>
      <c r="J171" s="14">
        <f t="shared" si="1"/>
        <v>0</v>
      </c>
      <c r="K171" s="12">
        <f>IF(A171&gt;(Drivers!B19+Drivers!B20),MIN(1,0.5+0.5*(A171-(Drivers!B19+Drivers!B20))/Drivers!B39),0)</f>
        <v>1</v>
      </c>
      <c r="L171" s="14">
        <f>Drivers!B2*(B171-B170)*Drivers!B24*(1+Drivers!B22)^(A171/12)*Drivers!B25*K171</f>
        <v>1407249.86</v>
      </c>
      <c r="M171" s="14">
        <f>L171*Drivers!B26</f>
        <v>281449.9719</v>
      </c>
      <c r="N171" s="14">
        <f>(L171+M171)*Drivers!B27</f>
        <v>591044.941</v>
      </c>
      <c r="O171" s="14">
        <f>IF(A171&gt;(Drivers!B19+Drivers!B20),Drivers!B28/12*(1+Drivers!B23)^(A171/12),0)</f>
        <v>579115.1686</v>
      </c>
      <c r="P171" s="14">
        <f>(L171+M171)*Drivers!B29</f>
        <v>67547.99326</v>
      </c>
      <c r="Q171" s="14">
        <f>Drivers!B3*Drivers!B30*(1+Drivers!B22)^(A171/12)*Drivers!B31*(1-Drivers!B32 )*K171</f>
        <v>110755.776</v>
      </c>
      <c r="R171" s="14">
        <f>IF(A171&gt;(Drivers!B19+Drivers!B20),Drivers!B33/12*(1+Drivers!B23)^(A171/12),0)</f>
        <v>86867.27528</v>
      </c>
      <c r="S171" s="14">
        <f t="shared" si="2"/>
        <v>474880.2294</v>
      </c>
      <c r="T171" s="14">
        <f t="shared" si="6"/>
        <v>10853442.51</v>
      </c>
      <c r="U171" s="14">
        <f>IF(AND(A171&gt;Drivers!B19,A171&lt;=(Drivers!B19+Drivers!B20)),Summary!B31*D171,0)</f>
        <v>0</v>
      </c>
      <c r="V171" s="14">
        <f>IF(A171&lt;=(Drivers!B19+Drivers!B20),(T171+U171/2)*Drivers!B36/12,T171*Drivers!B36/12)</f>
        <v>104012.1574</v>
      </c>
      <c r="W171" s="14">
        <f>IF(A171&gt;(Drivers!B19+Drivers!B20),MIN(T171,MAX(0,Summary!B32/12-V171)),0)</f>
        <v>154389.6971</v>
      </c>
      <c r="X171" s="14">
        <f>IF(A171=(Drivers!B19+1),Summary!B31*Drivers!B38,0)</f>
        <v>0</v>
      </c>
      <c r="Y171" s="14">
        <f t="shared" si="3"/>
        <v>10699052.81</v>
      </c>
      <c r="Z171" s="14">
        <f t="shared" si="4"/>
        <v>216478.375</v>
      </c>
      <c r="AA171" s="14">
        <f t="shared" si="7"/>
        <v>-128279807.4</v>
      </c>
      <c r="AB171" s="14">
        <f t="shared" si="5"/>
        <v>474880.2294</v>
      </c>
      <c r="AC171" s="14">
        <f>(E171+F171+G171+H171)*Drivers!B45</f>
        <v>0</v>
      </c>
      <c r="AD171" s="14">
        <f>IF(A171&lt;=Summary!B18,AB171+IF(A171=Summary!B18,Summary!B40,0),0)</f>
        <v>0</v>
      </c>
      <c r="AE171" s="14">
        <f>IF(A171&lt;=Summary!B18,Z171+IF(A171=Summary!B18,Summary!B40-Y171,0),0)</f>
        <v>0</v>
      </c>
      <c r="AF171" s="14">
        <f>AD171-IF(A171=0,Drivers!B44,0)</f>
        <v>0</v>
      </c>
      <c r="AG171" s="14">
        <f t="shared" si="8"/>
        <v>-115342988.7</v>
      </c>
    </row>
    <row r="172">
      <c r="A172" s="2">
        <v>170.0</v>
      </c>
      <c r="B172" s="15">
        <f>EDATE(Setup!B2,A172)</f>
        <v>51454</v>
      </c>
      <c r="C172" s="2" t="str">
        <f>IF(A172=0,"T0",IF(A172&lt;=Drivers!B19,"Preconstruction",IF(A172&lt;=(Drivers!B19+Drivers!B20),"Construction","Trading")))</f>
        <v>Trading</v>
      </c>
      <c r="D172" s="12">
        <f t="array" ref="D172">IF(AND(A172&gt;Drivers!B19,A172&lt;=(Drivers!B19+Drivers!B20)),SIN(PI()*(A172-Drivers!B19-0.5)/Drivers!B20)/SUMPRODUCT(SIN(PI()*(SEQUENCE(Drivers!B20,1)-0.5)/Drivers!B20)),0)</f>
        <v>0</v>
      </c>
      <c r="E172" s="14">
        <f>(Summary!B10+Summary!B12)*D172*(1+Drivers!B21)^(A172/12)</f>
        <v>0</v>
      </c>
      <c r="F172" s="14">
        <f>IF(AND(A172&gt;0,A172&lt;=Drivers!B19),Summary!B11*Drivers!B40/Drivers!B19*(1+Drivers!B21)^(A172/12),Summary!B11*(1-Drivers!B40 )*D172*(1+Drivers!B21)^(A172/12))</f>
        <v>0</v>
      </c>
      <c r="G172" s="14">
        <f>IF(AND(A172&gt;0,A172&lt;=2),Drivers!B16/2,0)</f>
        <v>0</v>
      </c>
      <c r="H172" s="14">
        <f>IF(A172=(Drivers!B19+Drivers!B20),Drivers!B17*(1+Drivers!B21)^(A172/12),0)</f>
        <v>0</v>
      </c>
      <c r="I172" s="14">
        <f>IF(AND(A172&gt;0,A172&lt;=(Drivers!B19+Drivers!B20)),Drivers!B18*(1+Drivers!B23)^(A172/12),0)</f>
        <v>0</v>
      </c>
      <c r="J172" s="14">
        <f t="shared" si="1"/>
        <v>0</v>
      </c>
      <c r="K172" s="12">
        <f>IF(A172&gt;(Drivers!B19+Drivers!B20),MIN(1,0.5+0.5*(A172-(Drivers!B19+Drivers!B20))/Drivers!B39),0)</f>
        <v>1</v>
      </c>
      <c r="L172" s="14">
        <f>Drivers!B2*(B172-B171)*Drivers!B24*(1+Drivers!B22)^(A172/12)*Drivers!B25*K172</f>
        <v>1458918.724</v>
      </c>
      <c r="M172" s="14">
        <f>L172*Drivers!B26</f>
        <v>291783.7448</v>
      </c>
      <c r="N172" s="14">
        <f>(L172+M172)*Drivers!B27</f>
        <v>612745.864</v>
      </c>
      <c r="O172" s="14">
        <f>IF(A172&gt;(Drivers!B19+Drivers!B20),Drivers!B28/12*(1+Drivers!B23)^(A172/12),0)</f>
        <v>581011.0409</v>
      </c>
      <c r="P172" s="14">
        <f>(L172+M172)*Drivers!B29</f>
        <v>70028.09874</v>
      </c>
      <c r="Q172" s="14">
        <f>Drivers!B3*Drivers!B30*(1+Drivers!B22)^(A172/12)*Drivers!B31*(1-Drivers!B32 )*K172</f>
        <v>111118.3616</v>
      </c>
      <c r="R172" s="14">
        <f>IF(A172&gt;(Drivers!B19+Drivers!B20),Drivers!B33/12*(1+Drivers!B23)^(A172/12),0)</f>
        <v>87151.65614</v>
      </c>
      <c r="S172" s="14">
        <f t="shared" si="2"/>
        <v>510884.1703</v>
      </c>
      <c r="T172" s="14">
        <f t="shared" si="6"/>
        <v>10699052.81</v>
      </c>
      <c r="U172" s="14">
        <f>IF(AND(A172&gt;Drivers!B19,A172&lt;=(Drivers!B19+Drivers!B20)),Summary!B31*D172,0)</f>
        <v>0</v>
      </c>
      <c r="V172" s="14">
        <f>IF(A172&lt;=(Drivers!B19+Drivers!B20),(T172+U172/2)*Drivers!B36/12,T172*Drivers!B36/12)</f>
        <v>102532.5894</v>
      </c>
      <c r="W172" s="14">
        <f>IF(A172&gt;(Drivers!B19+Drivers!B20),MIN(T172,MAX(0,Summary!B32/12-V172)),0)</f>
        <v>155869.265</v>
      </c>
      <c r="X172" s="14">
        <f>IF(A172=(Drivers!B19+1),Summary!B31*Drivers!B38,0)</f>
        <v>0</v>
      </c>
      <c r="Y172" s="14">
        <f t="shared" si="3"/>
        <v>10543183.54</v>
      </c>
      <c r="Z172" s="14">
        <f t="shared" si="4"/>
        <v>252482.3159</v>
      </c>
      <c r="AA172" s="14">
        <f t="shared" si="7"/>
        <v>-128027325.1</v>
      </c>
      <c r="AB172" s="14">
        <f t="shared" si="5"/>
        <v>510884.1703</v>
      </c>
      <c r="AC172" s="14">
        <f>(E172+F172+G172+H172)*Drivers!B45</f>
        <v>0</v>
      </c>
      <c r="AD172" s="14">
        <f>IF(A172&lt;=Summary!B18,AB172+IF(A172=Summary!B18,Summary!B40,0),0)</f>
        <v>0</v>
      </c>
      <c r="AE172" s="14">
        <f>IF(A172&lt;=Summary!B18,Z172+IF(A172=Summary!B18,Summary!B40-Y172,0),0)</f>
        <v>0</v>
      </c>
      <c r="AF172" s="14">
        <f>AD172-IF(A172=0,Drivers!B44,0)</f>
        <v>0</v>
      </c>
      <c r="AG172" s="14">
        <f t="shared" si="8"/>
        <v>-114832104.5</v>
      </c>
    </row>
    <row r="173">
      <c r="A173" s="2">
        <v>171.0</v>
      </c>
      <c r="B173" s="15">
        <f>EDATE(Setup!B2,A173)</f>
        <v>51484</v>
      </c>
      <c r="C173" s="2" t="str">
        <f>IF(A173=0,"T0",IF(A173&lt;=Drivers!B19,"Preconstruction",IF(A173&lt;=(Drivers!B19+Drivers!B20),"Construction","Trading")))</f>
        <v>Trading</v>
      </c>
      <c r="D173" s="12">
        <f t="array" ref="D173">IF(AND(A173&gt;Drivers!B19,A173&lt;=(Drivers!B19+Drivers!B20)),SIN(PI()*(A173-Drivers!B19-0.5)/Drivers!B20)/SUMPRODUCT(SIN(PI()*(SEQUENCE(Drivers!B20,1)-0.5)/Drivers!B20)),0)</f>
        <v>0</v>
      </c>
      <c r="E173" s="14">
        <f>(Summary!B10+Summary!B12)*D173*(1+Drivers!B21)^(A173/12)</f>
        <v>0</v>
      </c>
      <c r="F173" s="14">
        <f>IF(AND(A173&gt;0,A173&lt;=Drivers!B19),Summary!B11*Drivers!B40/Drivers!B19*(1+Drivers!B21)^(A173/12),Summary!B11*(1-Drivers!B40 )*D173*(1+Drivers!B21)^(A173/12))</f>
        <v>0</v>
      </c>
      <c r="G173" s="14">
        <f>IF(AND(A173&gt;0,A173&lt;=2),Drivers!B16/2,0)</f>
        <v>0</v>
      </c>
      <c r="H173" s="14">
        <f>IF(A173=(Drivers!B19+Drivers!B20),Drivers!B17*(1+Drivers!B21)^(A173/12),0)</f>
        <v>0</v>
      </c>
      <c r="I173" s="14">
        <f>IF(AND(A173&gt;0,A173&lt;=(Drivers!B19+Drivers!B20)),Drivers!B18*(1+Drivers!B23)^(A173/12),0)</f>
        <v>0</v>
      </c>
      <c r="J173" s="14">
        <f t="shared" si="1"/>
        <v>0</v>
      </c>
      <c r="K173" s="12">
        <f>IF(A173&gt;(Drivers!B19+Drivers!B20),MIN(1,0.5+0.5*(A173-(Drivers!B19+Drivers!B20))/Drivers!B39),0)</f>
        <v>1</v>
      </c>
      <c r="L173" s="14">
        <f>Drivers!B2*(B173-B172)*Drivers!B24*(1+Drivers!B22)^(A173/12)*Drivers!B25*K173</f>
        <v>1416478.881</v>
      </c>
      <c r="M173" s="14">
        <f>L173*Drivers!B26</f>
        <v>283295.7763</v>
      </c>
      <c r="N173" s="14">
        <f>(L173+M173)*Drivers!B27</f>
        <v>594921.1302</v>
      </c>
      <c r="O173" s="14">
        <f>IF(A173&gt;(Drivers!B19+Drivers!B20),Drivers!B28/12*(1+Drivers!B23)^(A173/12),0)</f>
        <v>582913.1199</v>
      </c>
      <c r="P173" s="14">
        <f>(L173+M173)*Drivers!B29</f>
        <v>67990.9863</v>
      </c>
      <c r="Q173" s="14">
        <f>Drivers!B3*Drivers!B30*(1+Drivers!B22)^(A173/12)*Drivers!B31*(1-Drivers!B32 )*K173</f>
        <v>111482.1342</v>
      </c>
      <c r="R173" s="14">
        <f>IF(A173&gt;(Drivers!B19+Drivers!B20),Drivers!B33/12*(1+Drivers!B23)^(A173/12),0)</f>
        <v>87436.96798</v>
      </c>
      <c r="S173" s="14">
        <f t="shared" si="2"/>
        <v>477994.5874</v>
      </c>
      <c r="T173" s="14">
        <f t="shared" si="6"/>
        <v>10543183.54</v>
      </c>
      <c r="U173" s="14">
        <f>IF(AND(A173&gt;Drivers!B19,A173&lt;=(Drivers!B19+Drivers!B20)),Summary!B31*D173,0)</f>
        <v>0</v>
      </c>
      <c r="V173" s="14">
        <f>IF(A173&lt;=(Drivers!B19+Drivers!B20),(T173+U173/2)*Drivers!B36/12,T173*Drivers!B36/12)</f>
        <v>101038.8423</v>
      </c>
      <c r="W173" s="14">
        <f>IF(A173&gt;(Drivers!B19+Drivers!B20),MIN(T173,MAX(0,Summary!B32/12-V173)),0)</f>
        <v>157363.0121</v>
      </c>
      <c r="X173" s="14">
        <f>IF(A173=(Drivers!B19+1),Summary!B31*Drivers!B38,0)</f>
        <v>0</v>
      </c>
      <c r="Y173" s="14">
        <f t="shared" si="3"/>
        <v>10385820.53</v>
      </c>
      <c r="Z173" s="14">
        <f t="shared" si="4"/>
        <v>219592.733</v>
      </c>
      <c r="AA173" s="14">
        <f t="shared" si="7"/>
        <v>-127807732.3</v>
      </c>
      <c r="AB173" s="14">
        <f t="shared" si="5"/>
        <v>477994.5874</v>
      </c>
      <c r="AC173" s="14">
        <f>(E173+F173+G173+H173)*Drivers!B45</f>
        <v>0</v>
      </c>
      <c r="AD173" s="14">
        <f>IF(A173&lt;=Summary!B18,AB173+IF(A173=Summary!B18,Summary!B40,0),0)</f>
        <v>0</v>
      </c>
      <c r="AE173" s="14">
        <f>IF(A173&lt;=Summary!B18,Z173+IF(A173=Summary!B18,Summary!B40-Y173,0),0)</f>
        <v>0</v>
      </c>
      <c r="AF173" s="14">
        <f>AD173-IF(A173=0,Drivers!B44,0)</f>
        <v>0</v>
      </c>
      <c r="AG173" s="14">
        <f t="shared" si="8"/>
        <v>-114354109.9</v>
      </c>
    </row>
    <row r="174">
      <c r="A174" s="2">
        <v>172.0</v>
      </c>
      <c r="B174" s="15">
        <f>EDATE(Setup!B2,A174)</f>
        <v>51515</v>
      </c>
      <c r="C174" s="2" t="str">
        <f>IF(A174=0,"T0",IF(A174&lt;=Drivers!B19,"Preconstruction",IF(A174&lt;=(Drivers!B19+Drivers!B20),"Construction","Trading")))</f>
        <v>Trading</v>
      </c>
      <c r="D174" s="12">
        <f t="array" ref="D174">IF(AND(A174&gt;Drivers!B19,A174&lt;=(Drivers!B19+Drivers!B20)),SIN(PI()*(A174-Drivers!B19-0.5)/Drivers!B20)/SUMPRODUCT(SIN(PI()*(SEQUENCE(Drivers!B20,1)-0.5)/Drivers!B20)),0)</f>
        <v>0</v>
      </c>
      <c r="E174" s="14">
        <f>(Summary!B10+Summary!B12)*D174*(1+Drivers!B21)^(A174/12)</f>
        <v>0</v>
      </c>
      <c r="F174" s="14">
        <f>IF(AND(A174&gt;0,A174&lt;=Drivers!B19),Summary!B11*Drivers!B40/Drivers!B19*(1+Drivers!B21)^(A174/12),Summary!B11*(1-Drivers!B40 )*D174*(1+Drivers!B21)^(A174/12))</f>
        <v>0</v>
      </c>
      <c r="G174" s="14">
        <f>IF(AND(A174&gt;0,A174&lt;=2),Drivers!B16/2,0)</f>
        <v>0</v>
      </c>
      <c r="H174" s="14">
        <f>IF(A174=(Drivers!B19+Drivers!B20),Drivers!B17*(1+Drivers!B21)^(A174/12),0)</f>
        <v>0</v>
      </c>
      <c r="I174" s="14">
        <f>IF(AND(A174&gt;0,A174&lt;=(Drivers!B19+Drivers!B20)),Drivers!B18*(1+Drivers!B23)^(A174/12),0)</f>
        <v>0</v>
      </c>
      <c r="J174" s="14">
        <f t="shared" si="1"/>
        <v>0</v>
      </c>
      <c r="K174" s="12">
        <f>IF(A174&gt;(Drivers!B19+Drivers!B20),MIN(1,0.5+0.5*(A174-(Drivers!B19+Drivers!B20))/Drivers!B39),0)</f>
        <v>1</v>
      </c>
      <c r="L174" s="14">
        <f>Drivers!B2*(B174-B173)*Drivers!B24*(1+Drivers!B22)^(A174/12)*Drivers!B25*K174</f>
        <v>1468486.6</v>
      </c>
      <c r="M174" s="14">
        <f>L174*Drivers!B26</f>
        <v>293697.32</v>
      </c>
      <c r="N174" s="14">
        <f>(L174+M174)*Drivers!B27</f>
        <v>616764.372</v>
      </c>
      <c r="O174" s="14">
        <f>IF(A174&gt;(Drivers!B19+Drivers!B20),Drivers!B28/12*(1+Drivers!B23)^(A174/12),0)</f>
        <v>584821.4258</v>
      </c>
      <c r="P174" s="14">
        <f>(L174+M174)*Drivers!B29</f>
        <v>70487.3568</v>
      </c>
      <c r="Q174" s="14">
        <f>Drivers!B3*Drivers!B30*(1+Drivers!B22)^(A174/12)*Drivers!B31*(1-Drivers!B32 )*K174</f>
        <v>111847.0977</v>
      </c>
      <c r="R174" s="14">
        <f>IF(A174&gt;(Drivers!B19+Drivers!B20),Drivers!B33/12*(1+Drivers!B23)^(A174/12),0)</f>
        <v>87723.21386</v>
      </c>
      <c r="S174" s="14">
        <f t="shared" si="2"/>
        <v>514234.6493</v>
      </c>
      <c r="T174" s="14">
        <f t="shared" si="6"/>
        <v>10385820.53</v>
      </c>
      <c r="U174" s="14">
        <f>IF(AND(A174&gt;Drivers!B19,A174&lt;=(Drivers!B19+Drivers!B20)),Summary!B31*D174,0)</f>
        <v>0</v>
      </c>
      <c r="V174" s="14">
        <f>IF(A174&lt;=(Drivers!B19+Drivers!B20),(T174+U174/2)*Drivers!B36/12,T174*Drivers!B36/12)</f>
        <v>99530.7801</v>
      </c>
      <c r="W174" s="14">
        <f>IF(A174&gt;(Drivers!B19+Drivers!B20),MIN(T174,MAX(0,Summary!B32/12-V174)),0)</f>
        <v>158871.0743</v>
      </c>
      <c r="X174" s="14">
        <f>IF(A174=(Drivers!B19+1),Summary!B31*Drivers!B38,0)</f>
        <v>0</v>
      </c>
      <c r="Y174" s="14">
        <f t="shared" si="3"/>
        <v>10226949.46</v>
      </c>
      <c r="Z174" s="14">
        <f t="shared" si="4"/>
        <v>255832.7949</v>
      </c>
      <c r="AA174" s="14">
        <f t="shared" si="7"/>
        <v>-127551899.5</v>
      </c>
      <c r="AB174" s="14">
        <f t="shared" si="5"/>
        <v>514234.6493</v>
      </c>
      <c r="AC174" s="14">
        <f>(E174+F174+G174+H174)*Drivers!B45</f>
        <v>0</v>
      </c>
      <c r="AD174" s="14">
        <f>IF(A174&lt;=Summary!B18,AB174+IF(A174=Summary!B18,Summary!B40,0),0)</f>
        <v>0</v>
      </c>
      <c r="AE174" s="14">
        <f>IF(A174&lt;=Summary!B18,Z174+IF(A174=Summary!B18,Summary!B40-Y174,0),0)</f>
        <v>0</v>
      </c>
      <c r="AF174" s="14">
        <f>AD174-IF(A174=0,Drivers!B44,0)</f>
        <v>0</v>
      </c>
      <c r="AG174" s="14">
        <f t="shared" si="8"/>
        <v>-113839875.2</v>
      </c>
    </row>
    <row r="175">
      <c r="A175" s="2">
        <v>173.0</v>
      </c>
      <c r="B175" s="15">
        <f>EDATE(Setup!B2,A175)</f>
        <v>51546</v>
      </c>
      <c r="C175" s="2" t="str">
        <f>IF(A175=0,"T0",IF(A175&lt;=Drivers!B19,"Preconstruction",IF(A175&lt;=(Drivers!B19+Drivers!B20),"Construction","Trading")))</f>
        <v>Trading</v>
      </c>
      <c r="D175" s="12">
        <f t="array" ref="D175">IF(AND(A175&gt;Drivers!B19,A175&lt;=(Drivers!B19+Drivers!B20)),SIN(PI()*(A175-Drivers!B19-0.5)/Drivers!B20)/SUMPRODUCT(SIN(PI()*(SEQUENCE(Drivers!B20,1)-0.5)/Drivers!B20)),0)</f>
        <v>0</v>
      </c>
      <c r="E175" s="14">
        <f>(Summary!B10+Summary!B12)*D175*(1+Drivers!B21)^(A175/12)</f>
        <v>0</v>
      </c>
      <c r="F175" s="14">
        <f>IF(AND(A175&gt;0,A175&lt;=Drivers!B19),Summary!B11*Drivers!B40/Drivers!B19*(1+Drivers!B21)^(A175/12),Summary!B11*(1-Drivers!B40 )*D175*(1+Drivers!B21)^(A175/12))</f>
        <v>0</v>
      </c>
      <c r="G175" s="14">
        <f>IF(AND(A175&gt;0,A175&lt;=2),Drivers!B16/2,0)</f>
        <v>0</v>
      </c>
      <c r="H175" s="14">
        <f>IF(A175=(Drivers!B19+Drivers!B20),Drivers!B17*(1+Drivers!B21)^(A175/12),0)</f>
        <v>0</v>
      </c>
      <c r="I175" s="14">
        <f>IF(AND(A175&gt;0,A175&lt;=(Drivers!B19+Drivers!B20)),Drivers!B18*(1+Drivers!B23)^(A175/12),0)</f>
        <v>0</v>
      </c>
      <c r="J175" s="14">
        <f t="shared" si="1"/>
        <v>0</v>
      </c>
      <c r="K175" s="12">
        <f>IF(A175&gt;(Drivers!B19+Drivers!B20),MIN(1,0.5+0.5*(A175-(Drivers!B19+Drivers!B20))/Drivers!B39),0)</f>
        <v>1</v>
      </c>
      <c r="L175" s="14">
        <f>Drivers!B2*(B175-B174)*Drivers!B24*(1+Drivers!B22)^(A175/12)*Drivers!B25*K175</f>
        <v>1473294.043</v>
      </c>
      <c r="M175" s="14">
        <f>L175*Drivers!B26</f>
        <v>294658.8086</v>
      </c>
      <c r="N175" s="14">
        <f>(L175+M175)*Drivers!B27</f>
        <v>618783.4981</v>
      </c>
      <c r="O175" s="14">
        <f>IF(A175&gt;(Drivers!B19+Drivers!B20),Drivers!B28/12*(1+Drivers!B23)^(A175/12),0)</f>
        <v>586735.9789</v>
      </c>
      <c r="P175" s="14">
        <f>(L175+M175)*Drivers!B29</f>
        <v>70718.11407</v>
      </c>
      <c r="Q175" s="14">
        <f>Drivers!B3*Drivers!B30*(1+Drivers!B22)^(A175/12)*Drivers!B31*(1-Drivers!B32 )*K175</f>
        <v>112213.256</v>
      </c>
      <c r="R175" s="14">
        <f>IF(A175&gt;(Drivers!B19+Drivers!B20),Drivers!B33/12*(1+Drivers!B23)^(A175/12),0)</f>
        <v>88010.39684</v>
      </c>
      <c r="S175" s="14">
        <f t="shared" si="2"/>
        <v>515918.1197</v>
      </c>
      <c r="T175" s="14">
        <f t="shared" si="6"/>
        <v>10226949.46</v>
      </c>
      <c r="U175" s="14">
        <f>IF(AND(A175&gt;Drivers!B19,A175&lt;=(Drivers!B19+Drivers!B20)),Summary!B31*D175,0)</f>
        <v>0</v>
      </c>
      <c r="V175" s="14">
        <f>IF(A175&lt;=(Drivers!B19+Drivers!B20),(T175+U175/2)*Drivers!B36/12,T175*Drivers!B36/12)</f>
        <v>98008.26564</v>
      </c>
      <c r="W175" s="14">
        <f>IF(A175&gt;(Drivers!B19+Drivers!B20),MIN(T175,MAX(0,Summary!B32/12-V175)),0)</f>
        <v>160393.5888</v>
      </c>
      <c r="X175" s="14">
        <f>IF(A175=(Drivers!B19+1),Summary!B31*Drivers!B38,0)</f>
        <v>0</v>
      </c>
      <c r="Y175" s="14">
        <f t="shared" si="3"/>
        <v>10066555.87</v>
      </c>
      <c r="Z175" s="14">
        <f t="shared" si="4"/>
        <v>257516.2653</v>
      </c>
      <c r="AA175" s="14">
        <f t="shared" si="7"/>
        <v>-127294383.3</v>
      </c>
      <c r="AB175" s="14">
        <f t="shared" si="5"/>
        <v>515918.1197</v>
      </c>
      <c r="AC175" s="14">
        <f>(E175+F175+G175+H175)*Drivers!B45</f>
        <v>0</v>
      </c>
      <c r="AD175" s="14">
        <f>IF(A175&lt;=Summary!B18,AB175+IF(A175=Summary!B18,Summary!B40,0),0)</f>
        <v>0</v>
      </c>
      <c r="AE175" s="14">
        <f>IF(A175&lt;=Summary!B18,Z175+IF(A175=Summary!B18,Summary!B40-Y175,0),0)</f>
        <v>0</v>
      </c>
      <c r="AF175" s="14">
        <f>AD175-IF(A175=0,Drivers!B44,0)</f>
        <v>0</v>
      </c>
      <c r="AG175" s="14">
        <f t="shared" si="8"/>
        <v>-113323957.1</v>
      </c>
    </row>
    <row r="176">
      <c r="A176" s="2">
        <v>174.0</v>
      </c>
      <c r="B176" s="15">
        <f>EDATE(Setup!B2,A176)</f>
        <v>51574</v>
      </c>
      <c r="C176" s="2" t="str">
        <f>IF(A176=0,"T0",IF(A176&lt;=Drivers!B19,"Preconstruction",IF(A176&lt;=(Drivers!B19+Drivers!B20),"Construction","Trading")))</f>
        <v>Trading</v>
      </c>
      <c r="D176" s="12">
        <f t="array" ref="D176">IF(AND(A176&gt;Drivers!B19,A176&lt;=(Drivers!B19+Drivers!B20)),SIN(PI()*(A176-Drivers!B19-0.5)/Drivers!B20)/SUMPRODUCT(SIN(PI()*(SEQUENCE(Drivers!B20,1)-0.5)/Drivers!B20)),0)</f>
        <v>0</v>
      </c>
      <c r="E176" s="14">
        <f>(Summary!B10+Summary!B12)*D176*(1+Drivers!B21)^(A176/12)</f>
        <v>0</v>
      </c>
      <c r="F176" s="14">
        <f>IF(AND(A176&gt;0,A176&lt;=Drivers!B19),Summary!B11*Drivers!B40/Drivers!B19*(1+Drivers!B21)^(A176/12),Summary!B11*(1-Drivers!B40 )*D176*(1+Drivers!B21)^(A176/12))</f>
        <v>0</v>
      </c>
      <c r="G176" s="14">
        <f>IF(AND(A176&gt;0,A176&lt;=2),Drivers!B16/2,0)</f>
        <v>0</v>
      </c>
      <c r="H176" s="14">
        <f>IF(A176=(Drivers!B19+Drivers!B20),Drivers!B17*(1+Drivers!B21)^(A176/12),0)</f>
        <v>0</v>
      </c>
      <c r="I176" s="14">
        <f>IF(AND(A176&gt;0,A176&lt;=(Drivers!B19+Drivers!B20)),Drivers!B18*(1+Drivers!B23)^(A176/12),0)</f>
        <v>0</v>
      </c>
      <c r="J176" s="14">
        <f t="shared" si="1"/>
        <v>0</v>
      </c>
      <c r="K176" s="12">
        <f>IF(A176&gt;(Drivers!B19+Drivers!B20),MIN(1,0.5+0.5*(A176-(Drivers!B19+Drivers!B20))/Drivers!B39),0)</f>
        <v>1</v>
      </c>
      <c r="L176" s="14">
        <f>Drivers!B2*(B176-B175)*Drivers!B24*(1+Drivers!B22)^(A176/12)*Drivers!B25*K176</f>
        <v>1335073.622</v>
      </c>
      <c r="M176" s="14">
        <f>L176*Drivers!B26</f>
        <v>267014.7244</v>
      </c>
      <c r="N176" s="14">
        <f>(L176+M176)*Drivers!B27</f>
        <v>560730.9213</v>
      </c>
      <c r="O176" s="14">
        <f>IF(A176&gt;(Drivers!B19+Drivers!B20),Drivers!B28/12*(1+Drivers!B23)^(A176/12),0)</f>
        <v>588656.7998</v>
      </c>
      <c r="P176" s="14">
        <f>(L176+M176)*Drivers!B29</f>
        <v>64083.53386</v>
      </c>
      <c r="Q176" s="14">
        <f>Drivers!B3*Drivers!B30*(1+Drivers!B22)^(A176/12)*Drivers!B31*(1-Drivers!B32 )*K176</f>
        <v>112580.613</v>
      </c>
      <c r="R176" s="14">
        <f>IF(A176&gt;(Drivers!B19+Drivers!B20),Drivers!B33/12*(1+Drivers!B23)^(A176/12),0)</f>
        <v>88298.51998</v>
      </c>
      <c r="S176" s="14">
        <f t="shared" si="2"/>
        <v>412899.1845</v>
      </c>
      <c r="T176" s="14">
        <f t="shared" si="6"/>
        <v>10066555.87</v>
      </c>
      <c r="U176" s="14">
        <f>IF(AND(A176&gt;Drivers!B19,A176&lt;=(Drivers!B19+Drivers!B20)),Summary!B31*D176,0)</f>
        <v>0</v>
      </c>
      <c r="V176" s="14">
        <f>IF(A176&lt;=(Drivers!B19+Drivers!B20),(T176+U176/2)*Drivers!B36/12,T176*Drivers!B36/12)</f>
        <v>96471.16042</v>
      </c>
      <c r="W176" s="14">
        <f>IF(A176&gt;(Drivers!B19+Drivers!B20),MIN(T176,MAX(0,Summary!B32/12-V176)),0)</f>
        <v>161930.694</v>
      </c>
      <c r="X176" s="14">
        <f>IF(A176=(Drivers!B19+1),Summary!B31*Drivers!B38,0)</f>
        <v>0</v>
      </c>
      <c r="Y176" s="14">
        <f t="shared" si="3"/>
        <v>9904625.176</v>
      </c>
      <c r="Z176" s="14">
        <f t="shared" si="4"/>
        <v>154497.3301</v>
      </c>
      <c r="AA176" s="14">
        <f t="shared" si="7"/>
        <v>-127139885.9</v>
      </c>
      <c r="AB176" s="14">
        <f t="shared" si="5"/>
        <v>412899.1845</v>
      </c>
      <c r="AC176" s="14">
        <f>(E176+F176+G176+H176)*Drivers!B45</f>
        <v>0</v>
      </c>
      <c r="AD176" s="14">
        <f>IF(A176&lt;=Summary!B18,AB176+IF(A176=Summary!B18,Summary!B40,0),0)</f>
        <v>0</v>
      </c>
      <c r="AE176" s="14">
        <f>IF(A176&lt;=Summary!B18,Z176+IF(A176=Summary!B18,Summary!B40-Y176,0),0)</f>
        <v>0</v>
      </c>
      <c r="AF176" s="14">
        <f>AD176-IF(A176=0,Drivers!B44,0)</f>
        <v>0</v>
      </c>
      <c r="AG176" s="14">
        <f t="shared" si="8"/>
        <v>-112911057.9</v>
      </c>
    </row>
    <row r="177">
      <c r="A177" s="2">
        <v>175.0</v>
      </c>
      <c r="B177" s="15">
        <f>EDATE(Setup!B2,A177)</f>
        <v>51605</v>
      </c>
      <c r="C177" s="2" t="str">
        <f>IF(A177=0,"T0",IF(A177&lt;=Drivers!B19,"Preconstruction",IF(A177&lt;=(Drivers!B19+Drivers!B20),"Construction","Trading")))</f>
        <v>Trading</v>
      </c>
      <c r="D177" s="12">
        <f t="array" ref="D177">IF(AND(A177&gt;Drivers!B19,A177&lt;=(Drivers!B19+Drivers!B20)),SIN(PI()*(A177-Drivers!B19-0.5)/Drivers!B20)/SUMPRODUCT(SIN(PI()*(SEQUENCE(Drivers!B20,1)-0.5)/Drivers!B20)),0)</f>
        <v>0</v>
      </c>
      <c r="E177" s="14">
        <f>(Summary!B10+Summary!B12)*D177*(1+Drivers!B21)^(A177/12)</f>
        <v>0</v>
      </c>
      <c r="F177" s="14">
        <f>IF(AND(A177&gt;0,A177&lt;=Drivers!B19),Summary!B11*Drivers!B40/Drivers!B19*(1+Drivers!B21)^(A177/12),Summary!B11*(1-Drivers!B40 )*D177*(1+Drivers!B21)^(A177/12))</f>
        <v>0</v>
      </c>
      <c r="G177" s="14">
        <f>IF(AND(A177&gt;0,A177&lt;=2),Drivers!B16/2,0)</f>
        <v>0</v>
      </c>
      <c r="H177" s="14">
        <f>IF(A177=(Drivers!B19+Drivers!B20),Drivers!B17*(1+Drivers!B21)^(A177/12),0)</f>
        <v>0</v>
      </c>
      <c r="I177" s="14">
        <f>IF(AND(A177&gt;0,A177&lt;=(Drivers!B19+Drivers!B20)),Drivers!B18*(1+Drivers!B23)^(A177/12),0)</f>
        <v>0</v>
      </c>
      <c r="J177" s="14">
        <f t="shared" si="1"/>
        <v>0</v>
      </c>
      <c r="K177" s="12">
        <f>IF(A177&gt;(Drivers!B19+Drivers!B20),MIN(1,0.5+0.5*(A177-(Drivers!B19+Drivers!B20))/Drivers!B39),0)</f>
        <v>1</v>
      </c>
      <c r="L177" s="14">
        <f>Drivers!B2*(B177-B176)*Drivers!B24*(1+Drivers!B22)^(A177/12)*Drivers!B25*K177</f>
        <v>1482956.196</v>
      </c>
      <c r="M177" s="14">
        <f>L177*Drivers!B26</f>
        <v>296591.2391</v>
      </c>
      <c r="N177" s="14">
        <f>(L177+M177)*Drivers!B27</f>
        <v>622841.6021</v>
      </c>
      <c r="O177" s="14">
        <f>IF(A177&gt;(Drivers!B19+Drivers!B20),Drivers!B28/12*(1+Drivers!B23)^(A177/12),0)</f>
        <v>590583.909</v>
      </c>
      <c r="P177" s="14">
        <f>(L177+M177)*Drivers!B29</f>
        <v>71181.89739</v>
      </c>
      <c r="Q177" s="14">
        <f>Drivers!B3*Drivers!B30*(1+Drivers!B22)^(A177/12)*Drivers!B31*(1-Drivers!B32 )*K177</f>
        <v>112949.1726</v>
      </c>
      <c r="R177" s="14">
        <f>IF(A177&gt;(Drivers!B19+Drivers!B20),Drivers!B33/12*(1+Drivers!B23)^(A177/12),0)</f>
        <v>88587.58635</v>
      </c>
      <c r="S177" s="14">
        <f t="shared" si="2"/>
        <v>519301.6124</v>
      </c>
      <c r="T177" s="14">
        <f t="shared" si="6"/>
        <v>9904625.176</v>
      </c>
      <c r="U177" s="14">
        <f>IF(AND(A177&gt;Drivers!B19,A177&lt;=(Drivers!B19+Drivers!B20)),Summary!B31*D177,0)</f>
        <v>0</v>
      </c>
      <c r="V177" s="14">
        <f>IF(A177&lt;=(Drivers!B19+Drivers!B20),(T177+U177/2)*Drivers!B36/12,T177*Drivers!B36/12)</f>
        <v>94919.3246</v>
      </c>
      <c r="W177" s="14">
        <f>IF(A177&gt;(Drivers!B19+Drivers!B20),MIN(T177,MAX(0,Summary!B32/12-V177)),0)</f>
        <v>163482.5298</v>
      </c>
      <c r="X177" s="14">
        <f>IF(A177=(Drivers!B19+1),Summary!B31*Drivers!B38,0)</f>
        <v>0</v>
      </c>
      <c r="Y177" s="14">
        <f t="shared" si="3"/>
        <v>9741142.646</v>
      </c>
      <c r="Z177" s="14">
        <f t="shared" si="4"/>
        <v>260899.758</v>
      </c>
      <c r="AA177" s="14">
        <f t="shared" si="7"/>
        <v>-126878986.2</v>
      </c>
      <c r="AB177" s="14">
        <f t="shared" si="5"/>
        <v>519301.6124</v>
      </c>
      <c r="AC177" s="14">
        <f>(E177+F177+G177+H177)*Drivers!B45</f>
        <v>0</v>
      </c>
      <c r="AD177" s="14">
        <f>IF(A177&lt;=Summary!B18,AB177+IF(A177=Summary!B18,Summary!B40,0),0)</f>
        <v>0</v>
      </c>
      <c r="AE177" s="14">
        <f>IF(A177&lt;=Summary!B18,Z177+IF(A177=Summary!B18,Summary!B40-Y177,0),0)</f>
        <v>0</v>
      </c>
      <c r="AF177" s="14">
        <f>AD177-IF(A177=0,Drivers!B44,0)</f>
        <v>0</v>
      </c>
      <c r="AG177" s="14">
        <f t="shared" si="8"/>
        <v>-112391756.3</v>
      </c>
    </row>
    <row r="178">
      <c r="A178" s="2">
        <v>176.0</v>
      </c>
      <c r="B178" s="15">
        <f>EDATE(Setup!B2,A178)</f>
        <v>51635</v>
      </c>
      <c r="C178" s="2" t="str">
        <f>IF(A178=0,"T0",IF(A178&lt;=Drivers!B19,"Preconstruction",IF(A178&lt;=(Drivers!B19+Drivers!B20),"Construction","Trading")))</f>
        <v>Trading</v>
      </c>
      <c r="D178" s="12">
        <f t="array" ref="D178">IF(AND(A178&gt;Drivers!B19,A178&lt;=(Drivers!B19+Drivers!B20)),SIN(PI()*(A178-Drivers!B19-0.5)/Drivers!B20)/SUMPRODUCT(SIN(PI()*(SEQUENCE(Drivers!B20,1)-0.5)/Drivers!B20)),0)</f>
        <v>0</v>
      </c>
      <c r="E178" s="14">
        <f>(Summary!B10+Summary!B12)*D178*(1+Drivers!B21)^(A178/12)</f>
        <v>0</v>
      </c>
      <c r="F178" s="14">
        <f>IF(AND(A178&gt;0,A178&lt;=Drivers!B19),Summary!B11*Drivers!B40/Drivers!B19*(1+Drivers!B21)^(A178/12),Summary!B11*(1-Drivers!B40 )*D178*(1+Drivers!B21)^(A178/12))</f>
        <v>0</v>
      </c>
      <c r="G178" s="14">
        <f>IF(AND(A178&gt;0,A178&lt;=2),Drivers!B16/2,0)</f>
        <v>0</v>
      </c>
      <c r="H178" s="14">
        <f>IF(A178=(Drivers!B19+Drivers!B20),Drivers!B17*(1+Drivers!B21)^(A178/12),0)</f>
        <v>0</v>
      </c>
      <c r="I178" s="14">
        <f>IF(AND(A178&gt;0,A178&lt;=(Drivers!B19+Drivers!B20)),Drivers!B18*(1+Drivers!B23)^(A178/12),0)</f>
        <v>0</v>
      </c>
      <c r="J178" s="14">
        <f t="shared" si="1"/>
        <v>0</v>
      </c>
      <c r="K178" s="12">
        <f>IF(A178&gt;(Drivers!B19+Drivers!B20),MIN(1,0.5+0.5*(A178-(Drivers!B19+Drivers!B20))/Drivers!B39),0)</f>
        <v>1</v>
      </c>
      <c r="L178" s="14">
        <f>Drivers!B2*(B178-B177)*Drivers!B24*(1+Drivers!B22)^(A178/12)*Drivers!B25*K178</f>
        <v>1439817.105</v>
      </c>
      <c r="M178" s="14">
        <f>L178*Drivers!B26</f>
        <v>287963.421</v>
      </c>
      <c r="N178" s="14">
        <f>(L178+M178)*Drivers!B27</f>
        <v>604723.184</v>
      </c>
      <c r="O178" s="14">
        <f>IF(A178&gt;(Drivers!B19+Drivers!B20),Drivers!B28/12*(1+Drivers!B23)^(A178/12),0)</f>
        <v>592517.3271</v>
      </c>
      <c r="P178" s="14">
        <f>(L178+M178)*Drivers!B29</f>
        <v>69111.22103</v>
      </c>
      <c r="Q178" s="14">
        <f>Drivers!B3*Drivers!B30*(1+Drivers!B22)^(A178/12)*Drivers!B31*(1-Drivers!B32 )*K178</f>
        <v>113318.9388</v>
      </c>
      <c r="R178" s="14">
        <f>IF(A178&gt;(Drivers!B19+Drivers!B20),Drivers!B33/12*(1+Drivers!B23)^(A178/12),0)</f>
        <v>88877.59906</v>
      </c>
      <c r="S178" s="14">
        <f t="shared" si="2"/>
        <v>485870.1334</v>
      </c>
      <c r="T178" s="14">
        <f t="shared" si="6"/>
        <v>9741142.646</v>
      </c>
      <c r="U178" s="14">
        <f>IF(AND(A178&gt;Drivers!B19,A178&lt;=(Drivers!B19+Drivers!B20)),Summary!B31*D178,0)</f>
        <v>0</v>
      </c>
      <c r="V178" s="14">
        <f>IF(A178&lt;=(Drivers!B19+Drivers!B20),(T178+U178/2)*Drivers!B36/12,T178*Drivers!B36/12)</f>
        <v>93352.61702</v>
      </c>
      <c r="W178" s="14">
        <f>IF(A178&gt;(Drivers!B19+Drivers!B20),MIN(T178,MAX(0,Summary!B32/12-V178)),0)</f>
        <v>165049.2374</v>
      </c>
      <c r="X178" s="14">
        <f>IF(A178=(Drivers!B19+1),Summary!B31*Drivers!B38,0)</f>
        <v>0</v>
      </c>
      <c r="Y178" s="14">
        <f t="shared" si="3"/>
        <v>9576093.408</v>
      </c>
      <c r="Z178" s="14">
        <f t="shared" si="4"/>
        <v>227468.2789</v>
      </c>
      <c r="AA178" s="14">
        <f t="shared" si="7"/>
        <v>-126651517.9</v>
      </c>
      <c r="AB178" s="14">
        <f t="shared" si="5"/>
        <v>485870.1334</v>
      </c>
      <c r="AC178" s="14">
        <f>(E178+F178+G178+H178)*Drivers!B45</f>
        <v>0</v>
      </c>
      <c r="AD178" s="14">
        <f>IF(A178&lt;=Summary!B18,AB178+IF(A178=Summary!B18,Summary!B40,0),0)</f>
        <v>0</v>
      </c>
      <c r="AE178" s="14">
        <f>IF(A178&lt;=Summary!B18,Z178+IF(A178=Summary!B18,Summary!B40-Y178,0),0)</f>
        <v>0</v>
      </c>
      <c r="AF178" s="14">
        <f>AD178-IF(A178=0,Drivers!B44,0)</f>
        <v>0</v>
      </c>
      <c r="AG178" s="14">
        <f t="shared" si="8"/>
        <v>-111905886.2</v>
      </c>
    </row>
    <row r="179">
      <c r="A179" s="2">
        <v>177.0</v>
      </c>
      <c r="B179" s="15">
        <f>EDATE(Setup!B2,A179)</f>
        <v>51666</v>
      </c>
      <c r="C179" s="2" t="str">
        <f>IF(A179=0,"T0",IF(A179&lt;=Drivers!B19,"Preconstruction",IF(A179&lt;=(Drivers!B19+Drivers!B20),"Construction","Trading")))</f>
        <v>Trading</v>
      </c>
      <c r="D179" s="12">
        <f t="array" ref="D179">IF(AND(A179&gt;Drivers!B19,A179&lt;=(Drivers!B19+Drivers!B20)),SIN(PI()*(A179-Drivers!B19-0.5)/Drivers!B20)/SUMPRODUCT(SIN(PI()*(SEQUENCE(Drivers!B20,1)-0.5)/Drivers!B20)),0)</f>
        <v>0</v>
      </c>
      <c r="E179" s="14">
        <f>(Summary!B10+Summary!B12)*D179*(1+Drivers!B21)^(A179/12)</f>
        <v>0</v>
      </c>
      <c r="F179" s="14">
        <f>IF(AND(A179&gt;0,A179&lt;=Drivers!B19),Summary!B11*Drivers!B40/Drivers!B19*(1+Drivers!B21)^(A179/12),Summary!B11*(1-Drivers!B40 )*D179*(1+Drivers!B21)^(A179/12))</f>
        <v>0</v>
      </c>
      <c r="G179" s="14">
        <f>IF(AND(A179&gt;0,A179&lt;=2),Drivers!B16/2,0)</f>
        <v>0</v>
      </c>
      <c r="H179" s="14">
        <f>IF(A179=(Drivers!B19+Drivers!B20),Drivers!B17*(1+Drivers!B21)^(A179/12),0)</f>
        <v>0</v>
      </c>
      <c r="I179" s="14">
        <f>IF(AND(A179&gt;0,A179&lt;=(Drivers!B19+Drivers!B20)),Drivers!B18*(1+Drivers!B23)^(A179/12),0)</f>
        <v>0</v>
      </c>
      <c r="J179" s="14">
        <f t="shared" si="1"/>
        <v>0</v>
      </c>
      <c r="K179" s="12">
        <f>IF(A179&gt;(Drivers!B19+Drivers!B20),MIN(1,0.5+0.5*(A179-(Drivers!B19+Drivers!B20))/Drivers!B39),0)</f>
        <v>1</v>
      </c>
      <c r="L179" s="14">
        <f>Drivers!B2*(B179-B178)*Drivers!B24*(1+Drivers!B22)^(A179/12)*Drivers!B25*K179</f>
        <v>1492681.714</v>
      </c>
      <c r="M179" s="14">
        <f>L179*Drivers!B26</f>
        <v>298536.3429</v>
      </c>
      <c r="N179" s="14">
        <f>(L179+M179)*Drivers!B27</f>
        <v>626926.32</v>
      </c>
      <c r="O179" s="14">
        <f>IF(A179&gt;(Drivers!B19+Drivers!B20),Drivers!B28/12*(1+Drivers!B23)^(A179/12),0)</f>
        <v>594457.0746</v>
      </c>
      <c r="P179" s="14">
        <f>(L179+M179)*Drivers!B29</f>
        <v>71648.72229</v>
      </c>
      <c r="Q179" s="14">
        <f>Drivers!B3*Drivers!B30*(1+Drivers!B22)^(A179/12)*Drivers!B31*(1-Drivers!B32 )*K179</f>
        <v>113689.9155</v>
      </c>
      <c r="R179" s="14">
        <f>IF(A179&gt;(Drivers!B19+Drivers!B20),Drivers!B33/12*(1+Drivers!B23)^(A179/12),0)</f>
        <v>89168.56119</v>
      </c>
      <c r="S179" s="14">
        <f t="shared" si="2"/>
        <v>522707.2946</v>
      </c>
      <c r="T179" s="14">
        <f t="shared" si="6"/>
        <v>9576093.408</v>
      </c>
      <c r="U179" s="14">
        <f>IF(AND(A179&gt;Drivers!B19,A179&lt;=(Drivers!B19+Drivers!B20)),Summary!B31*D179,0)</f>
        <v>0</v>
      </c>
      <c r="V179" s="14">
        <f>IF(A179&lt;=(Drivers!B19+Drivers!B20),(T179+U179/2)*Drivers!B36/12,T179*Drivers!B36/12)</f>
        <v>91770.89516</v>
      </c>
      <c r="W179" s="14">
        <f>IF(A179&gt;(Drivers!B19+Drivers!B20),MIN(T179,MAX(0,Summary!B32/12-V179)),0)</f>
        <v>166630.9593</v>
      </c>
      <c r="X179" s="14">
        <f>IF(A179=(Drivers!B19+1),Summary!B31*Drivers!B38,0)</f>
        <v>0</v>
      </c>
      <c r="Y179" s="14">
        <f t="shared" si="3"/>
        <v>9409462.449</v>
      </c>
      <c r="Z179" s="14">
        <f t="shared" si="4"/>
        <v>264305.4402</v>
      </c>
      <c r="AA179" s="14">
        <f t="shared" si="7"/>
        <v>-126387212.5</v>
      </c>
      <c r="AB179" s="14">
        <f t="shared" si="5"/>
        <v>522707.2946</v>
      </c>
      <c r="AC179" s="14">
        <f>(E179+F179+G179+H179)*Drivers!B45</f>
        <v>0</v>
      </c>
      <c r="AD179" s="14">
        <f>IF(A179&lt;=Summary!B18,AB179+IF(A179=Summary!B18,Summary!B40,0),0)</f>
        <v>0</v>
      </c>
      <c r="AE179" s="14">
        <f>IF(A179&lt;=Summary!B18,Z179+IF(A179=Summary!B18,Summary!B40-Y179,0),0)</f>
        <v>0</v>
      </c>
      <c r="AF179" s="14">
        <f>AD179-IF(A179=0,Drivers!B44,0)</f>
        <v>0</v>
      </c>
      <c r="AG179" s="14">
        <f t="shared" si="8"/>
        <v>-111383178.9</v>
      </c>
    </row>
    <row r="180">
      <c r="A180" s="2">
        <v>178.0</v>
      </c>
      <c r="B180" s="15">
        <f>EDATE(Setup!B2,A180)</f>
        <v>51696</v>
      </c>
      <c r="C180" s="2" t="str">
        <f>IF(A180=0,"T0",IF(A180&lt;=Drivers!B19,"Preconstruction",IF(A180&lt;=(Drivers!B19+Drivers!B20),"Construction","Trading")))</f>
        <v>Trading</v>
      </c>
      <c r="D180" s="12">
        <f t="array" ref="D180">IF(AND(A180&gt;Drivers!B19,A180&lt;=(Drivers!B19+Drivers!B20)),SIN(PI()*(A180-Drivers!B19-0.5)/Drivers!B20)/SUMPRODUCT(SIN(PI()*(SEQUENCE(Drivers!B20,1)-0.5)/Drivers!B20)),0)</f>
        <v>0</v>
      </c>
      <c r="E180" s="14">
        <f>(Summary!B10+Summary!B12)*D180*(1+Drivers!B21)^(A180/12)</f>
        <v>0</v>
      </c>
      <c r="F180" s="14">
        <f>IF(AND(A180&gt;0,A180&lt;=Drivers!B19),Summary!B11*Drivers!B40/Drivers!B19*(1+Drivers!B21)^(A180/12),Summary!B11*(1-Drivers!B40 )*D180*(1+Drivers!B21)^(A180/12))</f>
        <v>0</v>
      </c>
      <c r="G180" s="14">
        <f>IF(AND(A180&gt;0,A180&lt;=2),Drivers!B16/2,0)</f>
        <v>0</v>
      </c>
      <c r="H180" s="14">
        <f>IF(A180=(Drivers!B19+Drivers!B20),Drivers!B17*(1+Drivers!B21)^(A180/12),0)</f>
        <v>0</v>
      </c>
      <c r="I180" s="14">
        <f>IF(AND(A180&gt;0,A180&lt;=(Drivers!B19+Drivers!B20)),Drivers!B18*(1+Drivers!B23)^(A180/12),0)</f>
        <v>0</v>
      </c>
      <c r="J180" s="14">
        <f t="shared" si="1"/>
        <v>0</v>
      </c>
      <c r="K180" s="12">
        <f>IF(A180&gt;(Drivers!B19+Drivers!B20),MIN(1,0.5+0.5*(A180-(Drivers!B19+Drivers!B20))/Drivers!B39),0)</f>
        <v>1</v>
      </c>
      <c r="L180" s="14">
        <f>Drivers!B2*(B180-B179)*Drivers!B24*(1+Drivers!B22)^(A180/12)*Drivers!B25*K180</f>
        <v>1449259.709</v>
      </c>
      <c r="M180" s="14">
        <f>L180*Drivers!B26</f>
        <v>289851.9418</v>
      </c>
      <c r="N180" s="14">
        <f>(L180+M180)*Drivers!B27</f>
        <v>608689.0777</v>
      </c>
      <c r="O180" s="14">
        <f>IF(A180&gt;(Drivers!B19+Drivers!B20),Drivers!B28/12*(1+Drivers!B23)^(A180/12),0)</f>
        <v>596403.1724</v>
      </c>
      <c r="P180" s="14">
        <f>(L180+M180)*Drivers!B29</f>
        <v>69564.46603</v>
      </c>
      <c r="Q180" s="14">
        <f>Drivers!B3*Drivers!B30*(1+Drivers!B22)^(A180/12)*Drivers!B31*(1-Drivers!B32 )*K180</f>
        <v>114062.1067</v>
      </c>
      <c r="R180" s="14">
        <f>IF(A180&gt;(Drivers!B19+Drivers!B20),Drivers!B33/12*(1+Drivers!B23)^(A180/12),0)</f>
        <v>89460.47586</v>
      </c>
      <c r="S180" s="14">
        <f t="shared" si="2"/>
        <v>489056.5654</v>
      </c>
      <c r="T180" s="14">
        <f t="shared" si="6"/>
        <v>9409462.449</v>
      </c>
      <c r="U180" s="14">
        <f>IF(AND(A180&gt;Drivers!B19,A180&lt;=(Drivers!B19+Drivers!B20)),Summary!B31*D180,0)</f>
        <v>0</v>
      </c>
      <c r="V180" s="14">
        <f>IF(A180&lt;=(Drivers!B19+Drivers!B20),(T180+U180/2)*Drivers!B36/12,T180*Drivers!B36/12)</f>
        <v>90174.01514</v>
      </c>
      <c r="W180" s="14">
        <f>IF(A180&gt;(Drivers!B19+Drivers!B20),MIN(T180,MAX(0,Summary!B32/12-V180)),0)</f>
        <v>168227.8393</v>
      </c>
      <c r="X180" s="14">
        <f>IF(A180=(Drivers!B19+1),Summary!B31*Drivers!B38,0)</f>
        <v>0</v>
      </c>
      <c r="Y180" s="14">
        <f t="shared" si="3"/>
        <v>9241234.61</v>
      </c>
      <c r="Z180" s="14">
        <f t="shared" si="4"/>
        <v>230654.711</v>
      </c>
      <c r="AA180" s="14">
        <f t="shared" si="7"/>
        <v>-126156557.8</v>
      </c>
      <c r="AB180" s="14">
        <f t="shared" si="5"/>
        <v>489056.5654</v>
      </c>
      <c r="AC180" s="14">
        <f>(E180+F180+G180+H180)*Drivers!B45</f>
        <v>0</v>
      </c>
      <c r="AD180" s="14">
        <f>IF(A180&lt;=Summary!B18,AB180+IF(A180=Summary!B18,Summary!B40,0),0)</f>
        <v>0</v>
      </c>
      <c r="AE180" s="14">
        <f>IF(A180&lt;=Summary!B18,Z180+IF(A180=Summary!B18,Summary!B40-Y180,0),0)</f>
        <v>0</v>
      </c>
      <c r="AF180" s="14">
        <f>AD180-IF(A180=0,Drivers!B44,0)</f>
        <v>0</v>
      </c>
      <c r="AG180" s="14">
        <f t="shared" si="8"/>
        <v>-110894122.3</v>
      </c>
    </row>
    <row r="181">
      <c r="A181" s="2">
        <v>179.0</v>
      </c>
      <c r="B181" s="15">
        <f>EDATE(Setup!B2,A181)</f>
        <v>51727</v>
      </c>
      <c r="C181" s="2" t="str">
        <f>IF(A181=0,"T0",IF(A181&lt;=Drivers!B19,"Preconstruction",IF(A181&lt;=(Drivers!B19+Drivers!B20),"Construction","Trading")))</f>
        <v>Trading</v>
      </c>
      <c r="D181" s="12">
        <f t="array" ref="D181">IF(AND(A181&gt;Drivers!B19,A181&lt;=(Drivers!B19+Drivers!B20)),SIN(PI()*(A181-Drivers!B19-0.5)/Drivers!B20)/SUMPRODUCT(SIN(PI()*(SEQUENCE(Drivers!B20,1)-0.5)/Drivers!B20)),0)</f>
        <v>0</v>
      </c>
      <c r="E181" s="14">
        <f>(Summary!B10+Summary!B12)*D181*(1+Drivers!B21)^(A181/12)</f>
        <v>0</v>
      </c>
      <c r="F181" s="14">
        <f>IF(AND(A181&gt;0,A181&lt;=Drivers!B19),Summary!B11*Drivers!B40/Drivers!B19*(1+Drivers!B21)^(A181/12),Summary!B11*(1-Drivers!B40 )*D181*(1+Drivers!B21)^(A181/12))</f>
        <v>0</v>
      </c>
      <c r="G181" s="14">
        <f>IF(AND(A181&gt;0,A181&lt;=2),Drivers!B16/2,0)</f>
        <v>0</v>
      </c>
      <c r="H181" s="14">
        <f>IF(A181=(Drivers!B19+Drivers!B20),Drivers!B17*(1+Drivers!B21)^(A181/12),0)</f>
        <v>0</v>
      </c>
      <c r="I181" s="14">
        <f>IF(AND(A181&gt;0,A181&lt;=(Drivers!B19+Drivers!B20)),Drivers!B18*(1+Drivers!B23)^(A181/12),0)</f>
        <v>0</v>
      </c>
      <c r="J181" s="14">
        <f t="shared" si="1"/>
        <v>0</v>
      </c>
      <c r="K181" s="12">
        <f>IF(A181&gt;(Drivers!B19+Drivers!B20),MIN(1,0.5+0.5*(A181-(Drivers!B19+Drivers!B20))/Drivers!B39),0)</f>
        <v>1</v>
      </c>
      <c r="L181" s="14">
        <f>Drivers!B2*(B181-B180)*Drivers!B24*(1+Drivers!B22)^(A181/12)*Drivers!B25*K181</f>
        <v>1502471.015</v>
      </c>
      <c r="M181" s="14">
        <f>L181*Drivers!B26</f>
        <v>300494.203</v>
      </c>
      <c r="N181" s="14">
        <f>(L181+M181)*Drivers!B27</f>
        <v>631037.8263</v>
      </c>
      <c r="O181" s="14">
        <f>IF(A181&gt;(Drivers!B19+Drivers!B20),Drivers!B28/12*(1+Drivers!B23)^(A181/12),0)</f>
        <v>598355.6412</v>
      </c>
      <c r="P181" s="14">
        <f>(L181+M181)*Drivers!B29</f>
        <v>72118.60872</v>
      </c>
      <c r="Q181" s="14">
        <f>Drivers!B3*Drivers!B30*(1+Drivers!B22)^(A181/12)*Drivers!B31*(1-Drivers!B32 )*K181</f>
        <v>114435.5164</v>
      </c>
      <c r="R181" s="14">
        <f>IF(A181&gt;(Drivers!B19+Drivers!B20),Drivers!B33/12*(1+Drivers!B23)^(A181/12),0)</f>
        <v>89753.34618</v>
      </c>
      <c r="S181" s="14">
        <f t="shared" si="2"/>
        <v>526135.312</v>
      </c>
      <c r="T181" s="14">
        <f t="shared" si="6"/>
        <v>9241234.61</v>
      </c>
      <c r="U181" s="14">
        <f>IF(AND(A181&gt;Drivers!B19,A181&lt;=(Drivers!B19+Drivers!B20)),Summary!B31*D181,0)</f>
        <v>0</v>
      </c>
      <c r="V181" s="14">
        <f>IF(A181&lt;=(Drivers!B19+Drivers!B20),(T181+U181/2)*Drivers!B36/12,T181*Drivers!B36/12)</f>
        <v>88561.83168</v>
      </c>
      <c r="W181" s="14">
        <f>IF(A181&gt;(Drivers!B19+Drivers!B20),MIN(T181,MAX(0,Summary!B32/12-V181)),0)</f>
        <v>169840.0227</v>
      </c>
      <c r="X181" s="14">
        <f>IF(A181=(Drivers!B19+1),Summary!B31*Drivers!B38,0)</f>
        <v>0</v>
      </c>
      <c r="Y181" s="14">
        <f t="shared" si="3"/>
        <v>9071394.587</v>
      </c>
      <c r="Z181" s="14">
        <f t="shared" si="4"/>
        <v>267733.4576</v>
      </c>
      <c r="AA181" s="14">
        <f t="shared" si="7"/>
        <v>-125888824.3</v>
      </c>
      <c r="AB181" s="14">
        <f t="shared" si="5"/>
        <v>526135.312</v>
      </c>
      <c r="AC181" s="14">
        <f>(E181+F181+G181+H181)*Drivers!B45</f>
        <v>0</v>
      </c>
      <c r="AD181" s="14">
        <f>IF(A181&lt;=Summary!B18,AB181+IF(A181=Summary!B18,Summary!B40,0),0)</f>
        <v>0</v>
      </c>
      <c r="AE181" s="14">
        <f>IF(A181&lt;=Summary!B18,Z181+IF(A181=Summary!B18,Summary!B40-Y181,0),0)</f>
        <v>0</v>
      </c>
      <c r="AF181" s="14">
        <f>AD181-IF(A181=0,Drivers!B44,0)</f>
        <v>0</v>
      </c>
      <c r="AG181" s="14">
        <f t="shared" si="8"/>
        <v>-110367987</v>
      </c>
    </row>
    <row r="182">
      <c r="A182" s="2">
        <v>180.0</v>
      </c>
      <c r="B182" s="15">
        <f>EDATE(Setup!B2,A182)</f>
        <v>51758</v>
      </c>
      <c r="C182" s="2" t="str">
        <f>IF(A182=0,"T0",IF(A182&lt;=Drivers!B19,"Preconstruction",IF(A182&lt;=(Drivers!B19+Drivers!B20),"Construction","Trading")))</f>
        <v>Trading</v>
      </c>
      <c r="D182" s="12">
        <f t="array" ref="D182">IF(AND(A182&gt;Drivers!B19,A182&lt;=(Drivers!B19+Drivers!B20)),SIN(PI()*(A182-Drivers!B19-0.5)/Drivers!B20)/SUMPRODUCT(SIN(PI()*(SEQUENCE(Drivers!B20,1)-0.5)/Drivers!B20)),0)</f>
        <v>0</v>
      </c>
      <c r="E182" s="14">
        <f>(Summary!B10+Summary!B12)*D182*(1+Drivers!B21)^(A182/12)</f>
        <v>0</v>
      </c>
      <c r="F182" s="14">
        <f>IF(AND(A182&gt;0,A182&lt;=Drivers!B19),Summary!B11*Drivers!B40/Drivers!B19*(1+Drivers!B21)^(A182/12),Summary!B11*(1-Drivers!B40 )*D182*(1+Drivers!B21)^(A182/12))</f>
        <v>0</v>
      </c>
      <c r="G182" s="14">
        <f>IF(AND(A182&gt;0,A182&lt;=2),Drivers!B16/2,0)</f>
        <v>0</v>
      </c>
      <c r="H182" s="14">
        <f>IF(A182=(Drivers!B19+Drivers!B20),Drivers!B17*(1+Drivers!B21)^(A182/12),0)</f>
        <v>0</v>
      </c>
      <c r="I182" s="14">
        <f>IF(AND(A182&gt;0,A182&lt;=(Drivers!B19+Drivers!B20)),Drivers!B18*(1+Drivers!B23)^(A182/12),0)</f>
        <v>0</v>
      </c>
      <c r="J182" s="14">
        <f t="shared" si="1"/>
        <v>0</v>
      </c>
      <c r="K182" s="12">
        <f>IF(A182&gt;(Drivers!B19+Drivers!B20),MIN(1,0.5+0.5*(A182-(Drivers!B19+Drivers!B20))/Drivers!B39),0)</f>
        <v>1</v>
      </c>
      <c r="L182" s="14">
        <f>Drivers!B2*(B182-B181)*Drivers!B24*(1+Drivers!B22)^(A182/12)*Drivers!B25*K182</f>
        <v>1507389.714</v>
      </c>
      <c r="M182" s="14">
        <f>L182*Drivers!B26</f>
        <v>301477.9428</v>
      </c>
      <c r="N182" s="14">
        <f>(L182+M182)*Drivers!B27</f>
        <v>633103.6799</v>
      </c>
      <c r="O182" s="14">
        <f>IF(A182&gt;(Drivers!B19+Drivers!B20),Drivers!B28/12*(1+Drivers!B23)^(A182/12),0)</f>
        <v>600314.5018</v>
      </c>
      <c r="P182" s="14">
        <f>(L182+M182)*Drivers!B29</f>
        <v>72354.70628</v>
      </c>
      <c r="Q182" s="14">
        <f>Drivers!B3*Drivers!B30*(1+Drivers!B22)^(A182/12)*Drivers!B31*(1-Drivers!B32 )*K182</f>
        <v>114810.1485</v>
      </c>
      <c r="R182" s="14">
        <f>IF(A182&gt;(Drivers!B19+Drivers!B20),Drivers!B33/12*(1+Drivers!B23)^(A182/12),0)</f>
        <v>90047.17528</v>
      </c>
      <c r="S182" s="14">
        <f t="shared" si="2"/>
        <v>527857.7421</v>
      </c>
      <c r="T182" s="14">
        <f t="shared" si="6"/>
        <v>9071394.587</v>
      </c>
      <c r="U182" s="14">
        <f>IF(AND(A182&gt;Drivers!B19,A182&lt;=(Drivers!B19+Drivers!B20)),Summary!B31*D182,0)</f>
        <v>0</v>
      </c>
      <c r="V182" s="14">
        <f>IF(A182&lt;=(Drivers!B19+Drivers!B20),(T182+U182/2)*Drivers!B36/12,T182*Drivers!B36/12)</f>
        <v>86934.19813</v>
      </c>
      <c r="W182" s="14">
        <f>IF(A182&gt;(Drivers!B19+Drivers!B20),MIN(T182,MAX(0,Summary!B32/12-V182)),0)</f>
        <v>171467.6563</v>
      </c>
      <c r="X182" s="14">
        <f>IF(A182=(Drivers!B19+1),Summary!B31*Drivers!B38,0)</f>
        <v>0</v>
      </c>
      <c r="Y182" s="14">
        <f t="shared" si="3"/>
        <v>8899926.931</v>
      </c>
      <c r="Z182" s="14">
        <f t="shared" si="4"/>
        <v>269455.8877</v>
      </c>
      <c r="AA182" s="14">
        <f t="shared" si="7"/>
        <v>-125619368.4</v>
      </c>
      <c r="AB182" s="14">
        <f t="shared" si="5"/>
        <v>527857.7421</v>
      </c>
      <c r="AC182" s="14">
        <f>(E182+F182+G182+H182)*Drivers!B45</f>
        <v>0</v>
      </c>
      <c r="AD182" s="14">
        <f>IF(A182&lt;=Summary!B18,AB182+IF(A182=Summary!B18,Summary!B40,0),0)</f>
        <v>0</v>
      </c>
      <c r="AE182" s="14">
        <f>IF(A182&lt;=Summary!B18,Z182+IF(A182=Summary!B18,Summary!B40-Y182,0),0)</f>
        <v>0</v>
      </c>
      <c r="AF182" s="14">
        <f>AD182-IF(A182=0,Drivers!B44,0)</f>
        <v>0</v>
      </c>
      <c r="AG182" s="14">
        <f t="shared" si="8"/>
        <v>-109840129.3</v>
      </c>
    </row>
    <row r="183">
      <c r="A183" s="2">
        <v>181.0</v>
      </c>
      <c r="B183" s="15">
        <f>EDATE(Setup!B2,A183)</f>
        <v>51788</v>
      </c>
      <c r="C183" s="2" t="str">
        <f>IF(A183=0,"T0",IF(A183&lt;=Drivers!B19,"Preconstruction",IF(A183&lt;=(Drivers!B19+Drivers!B20),"Construction","Trading")))</f>
        <v>Trading</v>
      </c>
      <c r="D183" s="12">
        <f t="array" ref="D183">IF(AND(A183&gt;Drivers!B19,A183&lt;=(Drivers!B19+Drivers!B20)),SIN(PI()*(A183-Drivers!B19-0.5)/Drivers!B20)/SUMPRODUCT(SIN(PI()*(SEQUENCE(Drivers!B20,1)-0.5)/Drivers!B20)),0)</f>
        <v>0</v>
      </c>
      <c r="E183" s="14">
        <f>(Summary!B10+Summary!B12)*D183*(1+Drivers!B21)^(A183/12)</f>
        <v>0</v>
      </c>
      <c r="F183" s="14">
        <f>IF(AND(A183&gt;0,A183&lt;=Drivers!B19),Summary!B11*Drivers!B40/Drivers!B19*(1+Drivers!B21)^(A183/12),Summary!B11*(1-Drivers!B40 )*D183*(1+Drivers!B21)^(A183/12))</f>
        <v>0</v>
      </c>
      <c r="G183" s="14">
        <f>IF(AND(A183&gt;0,A183&lt;=2),Drivers!B16/2,0)</f>
        <v>0</v>
      </c>
      <c r="H183" s="14">
        <f>IF(A183=(Drivers!B19+Drivers!B20),Drivers!B17*(1+Drivers!B21)^(A183/12),0)</f>
        <v>0</v>
      </c>
      <c r="I183" s="14">
        <f>IF(AND(A183&gt;0,A183&lt;=(Drivers!B19+Drivers!B20)),Drivers!B18*(1+Drivers!B23)^(A183/12),0)</f>
        <v>0</v>
      </c>
      <c r="J183" s="14">
        <f t="shared" si="1"/>
        <v>0</v>
      </c>
      <c r="K183" s="12">
        <f>IF(A183&gt;(Drivers!B19+Drivers!B20),MIN(1,0.5+0.5*(A183-(Drivers!B19+Drivers!B20))/Drivers!B39),0)</f>
        <v>1</v>
      </c>
      <c r="L183" s="14">
        <f>Drivers!B2*(B183-B182)*Drivers!B24*(1+Drivers!B22)^(A183/12)*Drivers!B25*K183</f>
        <v>1463539.854</v>
      </c>
      <c r="M183" s="14">
        <f>L183*Drivers!B26</f>
        <v>292707.9708</v>
      </c>
      <c r="N183" s="14">
        <f>(L183+M183)*Drivers!B27</f>
        <v>614686.7387</v>
      </c>
      <c r="O183" s="14">
        <f>IF(A183&gt;(Drivers!B19+Drivers!B20),Drivers!B28/12*(1+Drivers!B23)^(A183/12),0)</f>
        <v>602279.7753</v>
      </c>
      <c r="P183" s="14">
        <f>(L183+M183)*Drivers!B29</f>
        <v>70249.91299</v>
      </c>
      <c r="Q183" s="14">
        <f>Drivers!B3*Drivers!B30*(1+Drivers!B22)^(A183/12)*Drivers!B31*(1-Drivers!B32 )*K183</f>
        <v>115186.007</v>
      </c>
      <c r="R183" s="14">
        <f>IF(A183&gt;(Drivers!B19+Drivers!B20),Drivers!B33/12*(1+Drivers!B23)^(A183/12),0)</f>
        <v>90341.9663</v>
      </c>
      <c r="S183" s="14">
        <f t="shared" si="2"/>
        <v>493875.4385</v>
      </c>
      <c r="T183" s="14">
        <f t="shared" si="6"/>
        <v>8899926.931</v>
      </c>
      <c r="U183" s="14">
        <f>IF(AND(A183&gt;Drivers!B19,A183&lt;=(Drivers!B19+Drivers!B20)),Summary!B31*D183,0)</f>
        <v>0</v>
      </c>
      <c r="V183" s="14">
        <f>IF(A183&lt;=(Drivers!B19+Drivers!B20),(T183+U183/2)*Drivers!B36/12,T183*Drivers!B36/12)</f>
        <v>85290.96642</v>
      </c>
      <c r="W183" s="14">
        <f>IF(A183&gt;(Drivers!B19+Drivers!B20),MIN(T183,MAX(0,Summary!B32/12-V183)),0)</f>
        <v>173110.888</v>
      </c>
      <c r="X183" s="14">
        <f>IF(A183=(Drivers!B19+1),Summary!B31*Drivers!B38,0)</f>
        <v>0</v>
      </c>
      <c r="Y183" s="14">
        <f t="shared" si="3"/>
        <v>8726816.043</v>
      </c>
      <c r="Z183" s="14">
        <f t="shared" si="4"/>
        <v>235473.5841</v>
      </c>
      <c r="AA183" s="14">
        <f t="shared" si="7"/>
        <v>-125383894.8</v>
      </c>
      <c r="AB183" s="14">
        <f t="shared" si="5"/>
        <v>493875.4385</v>
      </c>
      <c r="AC183" s="14">
        <f>(E183+F183+G183+H183)*Drivers!B45</f>
        <v>0</v>
      </c>
      <c r="AD183" s="14">
        <f>IF(A183&lt;=Summary!B18,AB183+IF(A183=Summary!B18,Summary!B40,0),0)</f>
        <v>0</v>
      </c>
      <c r="AE183" s="14">
        <f>IF(A183&lt;=Summary!B18,Z183+IF(A183=Summary!B18,Summary!B40-Y183,0),0)</f>
        <v>0</v>
      </c>
      <c r="AF183" s="14">
        <f>AD183-IF(A183=0,Drivers!B44,0)</f>
        <v>0</v>
      </c>
      <c r="AG183" s="14">
        <f t="shared" si="8"/>
        <v>-109346253.8</v>
      </c>
    </row>
    <row r="184">
      <c r="A184" s="2">
        <v>182.0</v>
      </c>
      <c r="B184" s="15">
        <f>EDATE(Setup!B2,A184)</f>
        <v>51819</v>
      </c>
      <c r="C184" s="2" t="str">
        <f>IF(A184=0,"T0",IF(A184&lt;=Drivers!B19,"Preconstruction",IF(A184&lt;=(Drivers!B19+Drivers!B20),"Construction","Trading")))</f>
        <v>Trading</v>
      </c>
      <c r="D184" s="12">
        <f t="array" ref="D184">IF(AND(A184&gt;Drivers!B19,A184&lt;=(Drivers!B19+Drivers!B20)),SIN(PI()*(A184-Drivers!B19-0.5)/Drivers!B20)/SUMPRODUCT(SIN(PI()*(SEQUENCE(Drivers!B20,1)-0.5)/Drivers!B20)),0)</f>
        <v>0</v>
      </c>
      <c r="E184" s="14">
        <f>(Summary!B10+Summary!B12)*D184*(1+Drivers!B21)^(A184/12)</f>
        <v>0</v>
      </c>
      <c r="F184" s="14">
        <f>IF(AND(A184&gt;0,A184&lt;=Drivers!B19),Summary!B11*Drivers!B40/Drivers!B19*(1+Drivers!B21)^(A184/12),Summary!B11*(1-Drivers!B40 )*D184*(1+Drivers!B21)^(A184/12))</f>
        <v>0</v>
      </c>
      <c r="G184" s="14">
        <f>IF(AND(A184&gt;0,A184&lt;=2),Drivers!B16/2,0)</f>
        <v>0</v>
      </c>
      <c r="H184" s="14">
        <f>IF(A184=(Drivers!B19+Drivers!B20),Drivers!B17*(1+Drivers!B21)^(A184/12),0)</f>
        <v>0</v>
      </c>
      <c r="I184" s="14">
        <f>IF(AND(A184&gt;0,A184&lt;=(Drivers!B19+Drivers!B20)),Drivers!B18*(1+Drivers!B23)^(A184/12),0)</f>
        <v>0</v>
      </c>
      <c r="J184" s="14">
        <f t="shared" si="1"/>
        <v>0</v>
      </c>
      <c r="K184" s="12">
        <f>IF(A184&gt;(Drivers!B19+Drivers!B20),MIN(1,0.5+0.5*(A184-(Drivers!B19+Drivers!B20))/Drivers!B39),0)</f>
        <v>1</v>
      </c>
      <c r="L184" s="14">
        <f>Drivers!B2*(B184-B183)*Drivers!B24*(1+Drivers!B22)^(A184/12)*Drivers!B25*K184</f>
        <v>1517275.473</v>
      </c>
      <c r="M184" s="14">
        <f>L184*Drivers!B26</f>
        <v>303455.0945</v>
      </c>
      <c r="N184" s="14">
        <f>(L184+M184)*Drivers!B27</f>
        <v>637255.6985</v>
      </c>
      <c r="O184" s="14">
        <f>IF(A184&gt;(Drivers!B19+Drivers!B20),Drivers!B28/12*(1+Drivers!B23)^(A184/12),0)</f>
        <v>604251.4826</v>
      </c>
      <c r="P184" s="14">
        <f>(L184+M184)*Drivers!B29</f>
        <v>72829.22269</v>
      </c>
      <c r="Q184" s="14">
        <f>Drivers!B3*Drivers!B30*(1+Drivers!B22)^(A184/12)*Drivers!B31*(1-Drivers!B32 )*K184</f>
        <v>115563.096</v>
      </c>
      <c r="R184" s="14">
        <f>IF(A184&gt;(Drivers!B19+Drivers!B20),Drivers!B33/12*(1+Drivers!B23)^(A184/12),0)</f>
        <v>90637.72238</v>
      </c>
      <c r="S184" s="14">
        <f t="shared" si="2"/>
        <v>531319.5371</v>
      </c>
      <c r="T184" s="14">
        <f t="shared" si="6"/>
        <v>8726816.043</v>
      </c>
      <c r="U184" s="14">
        <f>IF(AND(A184&gt;Drivers!B19,A184&lt;=(Drivers!B19+Drivers!B20)),Summary!B31*D184,0)</f>
        <v>0</v>
      </c>
      <c r="V184" s="14">
        <f>IF(A184&lt;=(Drivers!B19+Drivers!B20),(T184+U184/2)*Drivers!B36/12,T184*Drivers!B36/12)</f>
        <v>83631.98708</v>
      </c>
      <c r="W184" s="14">
        <f>IF(A184&gt;(Drivers!B19+Drivers!B20),MIN(T184,MAX(0,Summary!B32/12-V184)),0)</f>
        <v>174769.8673</v>
      </c>
      <c r="X184" s="14">
        <f>IF(A184=(Drivers!B19+1),Summary!B31*Drivers!B38,0)</f>
        <v>0</v>
      </c>
      <c r="Y184" s="14">
        <f t="shared" si="3"/>
        <v>8552046.176</v>
      </c>
      <c r="Z184" s="14">
        <f t="shared" si="4"/>
        <v>272917.6827</v>
      </c>
      <c r="AA184" s="14">
        <f t="shared" si="7"/>
        <v>-125110977.1</v>
      </c>
      <c r="AB184" s="14">
        <f t="shared" si="5"/>
        <v>531319.5371</v>
      </c>
      <c r="AC184" s="14">
        <f>(E184+F184+G184+H184)*Drivers!B45</f>
        <v>0</v>
      </c>
      <c r="AD184" s="14">
        <f>IF(A184&lt;=Summary!B18,AB184+IF(A184=Summary!B18,Summary!B40,0),0)</f>
        <v>0</v>
      </c>
      <c r="AE184" s="14">
        <f>IF(A184&lt;=Summary!B18,Z184+IF(A184=Summary!B18,Summary!B40-Y184,0),0)</f>
        <v>0</v>
      </c>
      <c r="AF184" s="14">
        <f>AD184-IF(A184=0,Drivers!B44,0)</f>
        <v>0</v>
      </c>
      <c r="AG184" s="14">
        <f t="shared" si="8"/>
        <v>-108814934.3</v>
      </c>
    </row>
    <row r="185">
      <c r="A185" s="2">
        <v>183.0</v>
      </c>
      <c r="B185" s="15">
        <f>EDATE(Setup!B2,A185)</f>
        <v>51849</v>
      </c>
      <c r="C185" s="2" t="str">
        <f>IF(A185=0,"T0",IF(A185&lt;=Drivers!B19,"Preconstruction",IF(A185&lt;=(Drivers!B19+Drivers!B20),"Construction","Trading")))</f>
        <v>Trading</v>
      </c>
      <c r="D185" s="12">
        <f t="array" ref="D185">IF(AND(A185&gt;Drivers!B19,A185&lt;=(Drivers!B19+Drivers!B20)),SIN(PI()*(A185-Drivers!B19-0.5)/Drivers!B20)/SUMPRODUCT(SIN(PI()*(SEQUENCE(Drivers!B20,1)-0.5)/Drivers!B20)),0)</f>
        <v>0</v>
      </c>
      <c r="E185" s="14">
        <f>(Summary!B10+Summary!B12)*D185*(1+Drivers!B21)^(A185/12)</f>
        <v>0</v>
      </c>
      <c r="F185" s="14">
        <f>IF(AND(A185&gt;0,A185&lt;=Drivers!B19),Summary!B11*Drivers!B40/Drivers!B19*(1+Drivers!B21)^(A185/12),Summary!B11*(1-Drivers!B40 )*D185*(1+Drivers!B21)^(A185/12))</f>
        <v>0</v>
      </c>
      <c r="G185" s="14">
        <f>IF(AND(A185&gt;0,A185&lt;=2),Drivers!B16/2,0)</f>
        <v>0</v>
      </c>
      <c r="H185" s="14">
        <f>IF(A185=(Drivers!B19+Drivers!B20),Drivers!B17*(1+Drivers!B21)^(A185/12),0)</f>
        <v>0</v>
      </c>
      <c r="I185" s="14">
        <f>IF(AND(A185&gt;0,A185&lt;=(Drivers!B19+Drivers!B20)),Drivers!B18*(1+Drivers!B23)^(A185/12),0)</f>
        <v>0</v>
      </c>
      <c r="J185" s="14">
        <f t="shared" si="1"/>
        <v>0</v>
      </c>
      <c r="K185" s="12">
        <f>IF(A185&gt;(Drivers!B19+Drivers!B20),MIN(1,0.5+0.5*(A185-(Drivers!B19+Drivers!B20))/Drivers!B39),0)</f>
        <v>1</v>
      </c>
      <c r="L185" s="14">
        <f>Drivers!B2*(B185-B184)*Drivers!B24*(1+Drivers!B22)^(A185/12)*Drivers!B25*K185</f>
        <v>1473138.037</v>
      </c>
      <c r="M185" s="14">
        <f>L185*Drivers!B26</f>
        <v>294627.6073</v>
      </c>
      <c r="N185" s="14">
        <f>(L185+M185)*Drivers!B27</f>
        <v>618717.9754</v>
      </c>
      <c r="O185" s="14">
        <f>IF(A185&gt;(Drivers!B19+Drivers!B20),Drivers!B28/12*(1+Drivers!B23)^(A185/12),0)</f>
        <v>606229.6447</v>
      </c>
      <c r="P185" s="14">
        <f>(L185+M185)*Drivers!B29</f>
        <v>70710.62576</v>
      </c>
      <c r="Q185" s="14">
        <f>Drivers!B3*Drivers!B30*(1+Drivers!B22)^(A185/12)*Drivers!B31*(1-Drivers!B32 )*K185</f>
        <v>115941.4195</v>
      </c>
      <c r="R185" s="14">
        <f>IF(A185&gt;(Drivers!B19+Drivers!B20),Drivers!B33/12*(1+Drivers!B23)^(A185/12),0)</f>
        <v>90934.4467</v>
      </c>
      <c r="S185" s="14">
        <f t="shared" si="2"/>
        <v>497114.3709</v>
      </c>
      <c r="T185" s="14">
        <f t="shared" si="6"/>
        <v>8552046.176</v>
      </c>
      <c r="U185" s="14">
        <f>IF(AND(A185&gt;Drivers!B19,A185&lt;=(Drivers!B19+Drivers!B20)),Summary!B31*D185,0)</f>
        <v>0</v>
      </c>
      <c r="V185" s="14">
        <f>IF(A185&lt;=(Drivers!B19+Drivers!B20),(T185+U185/2)*Drivers!B36/12,T185*Drivers!B36/12)</f>
        <v>81957.10918</v>
      </c>
      <c r="W185" s="14">
        <f>IF(A185&gt;(Drivers!B19+Drivers!B20),MIN(T185,MAX(0,Summary!B32/12-V185)),0)</f>
        <v>176444.7452</v>
      </c>
      <c r="X185" s="14">
        <f>IF(A185=(Drivers!B19+1),Summary!B31*Drivers!B38,0)</f>
        <v>0</v>
      </c>
      <c r="Y185" s="14">
        <f t="shared" si="3"/>
        <v>8375601.43</v>
      </c>
      <c r="Z185" s="14">
        <f t="shared" si="4"/>
        <v>238712.5165</v>
      </c>
      <c r="AA185" s="14">
        <f t="shared" si="7"/>
        <v>-124872264.6</v>
      </c>
      <c r="AB185" s="14">
        <f t="shared" si="5"/>
        <v>497114.3709</v>
      </c>
      <c r="AC185" s="14">
        <f>(E185+F185+G185+H185)*Drivers!B45</f>
        <v>0</v>
      </c>
      <c r="AD185" s="14">
        <f>IF(A185&lt;=Summary!B18,AB185+IF(A185=Summary!B18,Summary!B40,0),0)</f>
        <v>0</v>
      </c>
      <c r="AE185" s="14">
        <f>IF(A185&lt;=Summary!B18,Z185+IF(A185=Summary!B18,Summary!B40-Y185,0),0)</f>
        <v>0</v>
      </c>
      <c r="AF185" s="14">
        <f>AD185-IF(A185=0,Drivers!B44,0)</f>
        <v>0</v>
      </c>
      <c r="AG185" s="14">
        <f t="shared" si="8"/>
        <v>-108317819.9</v>
      </c>
    </row>
    <row r="186">
      <c r="A186" s="2">
        <v>184.0</v>
      </c>
      <c r="B186" s="15">
        <f>EDATE(Setup!B2,A186)</f>
        <v>51880</v>
      </c>
      <c r="C186" s="2" t="str">
        <f>IF(A186=0,"T0",IF(A186&lt;=Drivers!B19,"Preconstruction",IF(A186&lt;=(Drivers!B19+Drivers!B20),"Construction","Trading")))</f>
        <v>Trading</v>
      </c>
      <c r="D186" s="12">
        <f t="array" ref="D186">IF(AND(A186&gt;Drivers!B19,A186&lt;=(Drivers!B19+Drivers!B20)),SIN(PI()*(A186-Drivers!B19-0.5)/Drivers!B20)/SUMPRODUCT(SIN(PI()*(SEQUENCE(Drivers!B20,1)-0.5)/Drivers!B20)),0)</f>
        <v>0</v>
      </c>
      <c r="E186" s="14">
        <f>(Summary!B10+Summary!B12)*D186*(1+Drivers!B21)^(A186/12)</f>
        <v>0</v>
      </c>
      <c r="F186" s="14">
        <f>IF(AND(A186&gt;0,A186&lt;=Drivers!B19),Summary!B11*Drivers!B40/Drivers!B19*(1+Drivers!B21)^(A186/12),Summary!B11*(1-Drivers!B40 )*D186*(1+Drivers!B21)^(A186/12))</f>
        <v>0</v>
      </c>
      <c r="G186" s="14">
        <f>IF(AND(A186&gt;0,A186&lt;=2),Drivers!B16/2,0)</f>
        <v>0</v>
      </c>
      <c r="H186" s="14">
        <f>IF(A186=(Drivers!B19+Drivers!B20),Drivers!B17*(1+Drivers!B21)^(A186/12),0)</f>
        <v>0</v>
      </c>
      <c r="I186" s="14">
        <f>IF(AND(A186&gt;0,A186&lt;=(Drivers!B19+Drivers!B20)),Drivers!B18*(1+Drivers!B23)^(A186/12),0)</f>
        <v>0</v>
      </c>
      <c r="J186" s="14">
        <f t="shared" si="1"/>
        <v>0</v>
      </c>
      <c r="K186" s="12">
        <f>IF(A186&gt;(Drivers!B19+Drivers!B20),MIN(1,0.5+0.5*(A186-(Drivers!B19+Drivers!B20))/Drivers!B39),0)</f>
        <v>1</v>
      </c>
      <c r="L186" s="14">
        <f>Drivers!B2*(B186-B185)*Drivers!B24*(1+Drivers!B22)^(A186/12)*Drivers!B25*K186</f>
        <v>1527226.064</v>
      </c>
      <c r="M186" s="14">
        <f>L186*Drivers!B26</f>
        <v>305445.2128</v>
      </c>
      <c r="N186" s="14">
        <f>(L186+M186)*Drivers!B27</f>
        <v>641434.9469</v>
      </c>
      <c r="O186" s="14">
        <f>IF(A186&gt;(Drivers!B19+Drivers!B20),Drivers!B28/12*(1+Drivers!B23)^(A186/12),0)</f>
        <v>608214.2828</v>
      </c>
      <c r="P186" s="14">
        <f>(L186+M186)*Drivers!B29</f>
        <v>73306.85108</v>
      </c>
      <c r="Q186" s="14">
        <f>Drivers!B3*Drivers!B30*(1+Drivers!B22)^(A186/12)*Drivers!B31*(1-Drivers!B32 )*K186</f>
        <v>116320.9816</v>
      </c>
      <c r="R186" s="14">
        <f>IF(A186&gt;(Drivers!B19+Drivers!B20),Drivers!B33/12*(1+Drivers!B23)^(A186/12),0)</f>
        <v>91232.14242</v>
      </c>
      <c r="S186" s="14">
        <f t="shared" si="2"/>
        <v>534804.0353</v>
      </c>
      <c r="T186" s="14">
        <f t="shared" si="6"/>
        <v>8375601.43</v>
      </c>
      <c r="U186" s="14">
        <f>IF(AND(A186&gt;Drivers!B19,A186&lt;=(Drivers!B19+Drivers!B20)),Summary!B31*D186,0)</f>
        <v>0</v>
      </c>
      <c r="V186" s="14">
        <f>IF(A186&lt;=(Drivers!B19+Drivers!B20),(T186+U186/2)*Drivers!B36/12,T186*Drivers!B36/12)</f>
        <v>80266.18037</v>
      </c>
      <c r="W186" s="14">
        <f>IF(A186&gt;(Drivers!B19+Drivers!B20),MIN(T186,MAX(0,Summary!B32/12-V186)),0)</f>
        <v>178135.674</v>
      </c>
      <c r="X186" s="14">
        <f>IF(A186=(Drivers!B19+1),Summary!B31*Drivers!B38,0)</f>
        <v>0</v>
      </c>
      <c r="Y186" s="14">
        <f t="shared" si="3"/>
        <v>8197465.756</v>
      </c>
      <c r="Z186" s="14">
        <f t="shared" si="4"/>
        <v>276402.1809</v>
      </c>
      <c r="AA186" s="14">
        <f t="shared" si="7"/>
        <v>-124595862.4</v>
      </c>
      <c r="AB186" s="14">
        <f t="shared" si="5"/>
        <v>534804.0353</v>
      </c>
      <c r="AC186" s="14">
        <f>(E186+F186+G186+H186)*Drivers!B45</f>
        <v>0</v>
      </c>
      <c r="AD186" s="14">
        <f>IF(A186&lt;=Summary!B18,AB186+IF(A186=Summary!B18,Summary!B40,0),0)</f>
        <v>0</v>
      </c>
      <c r="AE186" s="14">
        <f>IF(A186&lt;=Summary!B18,Z186+IF(A186=Summary!B18,Summary!B40-Y186,0),0)</f>
        <v>0</v>
      </c>
      <c r="AF186" s="14">
        <f>AD186-IF(A186=0,Drivers!B44,0)</f>
        <v>0</v>
      </c>
      <c r="AG186" s="14">
        <f t="shared" si="8"/>
        <v>-107783015.9</v>
      </c>
    </row>
    <row r="187">
      <c r="A187" s="2">
        <v>185.0</v>
      </c>
      <c r="B187" s="15">
        <f>EDATE(Setup!B2,A187)</f>
        <v>51911</v>
      </c>
      <c r="C187" s="2" t="str">
        <f>IF(A187=0,"T0",IF(A187&lt;=Drivers!B19,"Preconstruction",IF(A187&lt;=(Drivers!B19+Drivers!B20),"Construction","Trading")))</f>
        <v>Trading</v>
      </c>
      <c r="D187" s="12">
        <f t="array" ref="D187">IF(AND(A187&gt;Drivers!B19,A187&lt;=(Drivers!B19+Drivers!B20)),SIN(PI()*(A187-Drivers!B19-0.5)/Drivers!B20)/SUMPRODUCT(SIN(PI()*(SEQUENCE(Drivers!B20,1)-0.5)/Drivers!B20)),0)</f>
        <v>0</v>
      </c>
      <c r="E187" s="14">
        <f>(Summary!B10+Summary!B12)*D187*(1+Drivers!B21)^(A187/12)</f>
        <v>0</v>
      </c>
      <c r="F187" s="14">
        <f>IF(AND(A187&gt;0,A187&lt;=Drivers!B19),Summary!B11*Drivers!B40/Drivers!B19*(1+Drivers!B21)^(A187/12),Summary!B11*(1-Drivers!B40 )*D187*(1+Drivers!B21)^(A187/12))</f>
        <v>0</v>
      </c>
      <c r="G187" s="14">
        <f>IF(AND(A187&gt;0,A187&lt;=2),Drivers!B16/2,0)</f>
        <v>0</v>
      </c>
      <c r="H187" s="14">
        <f>IF(A187=(Drivers!B19+Drivers!B20),Drivers!B17*(1+Drivers!B21)^(A187/12),0)</f>
        <v>0</v>
      </c>
      <c r="I187" s="14">
        <f>IF(AND(A187&gt;0,A187&lt;=(Drivers!B19+Drivers!B20)),Drivers!B18*(1+Drivers!B23)^(A187/12),0)</f>
        <v>0</v>
      </c>
      <c r="J187" s="14">
        <f t="shared" si="1"/>
        <v>0</v>
      </c>
      <c r="K187" s="12">
        <f>IF(A187&gt;(Drivers!B19+Drivers!B20),MIN(1,0.5+0.5*(A187-(Drivers!B19+Drivers!B20))/Drivers!B39),0)</f>
        <v>1</v>
      </c>
      <c r="L187" s="14">
        <f>Drivers!B2*(B187-B186)*Drivers!B24*(1+Drivers!B22)^(A187/12)*Drivers!B25*K187</f>
        <v>1532225.805</v>
      </c>
      <c r="M187" s="14">
        <f>L187*Drivers!B26</f>
        <v>306445.161</v>
      </c>
      <c r="N187" s="14">
        <f>(L187+M187)*Drivers!B27</f>
        <v>643534.838</v>
      </c>
      <c r="O187" s="14">
        <f>IF(A187&gt;(Drivers!B19+Drivers!B20),Drivers!B28/12*(1+Drivers!B23)^(A187/12),0)</f>
        <v>610205.4181</v>
      </c>
      <c r="P187" s="14">
        <f>(L187+M187)*Drivers!B29</f>
        <v>73546.83863</v>
      </c>
      <c r="Q187" s="14">
        <f>Drivers!B3*Drivers!B30*(1+Drivers!B22)^(A187/12)*Drivers!B31*(1-Drivers!B32 )*K187</f>
        <v>116701.7862</v>
      </c>
      <c r="R187" s="14">
        <f>IF(A187&gt;(Drivers!B19+Drivers!B20),Drivers!B33/12*(1+Drivers!B23)^(A187/12),0)</f>
        <v>91530.81271</v>
      </c>
      <c r="S187" s="14">
        <f t="shared" si="2"/>
        <v>536554.8445</v>
      </c>
      <c r="T187" s="14">
        <f t="shared" si="6"/>
        <v>8197465.756</v>
      </c>
      <c r="U187" s="14">
        <f>IF(AND(A187&gt;Drivers!B19,A187&lt;=(Drivers!B19+Drivers!B20)),Summary!B31*D187,0)</f>
        <v>0</v>
      </c>
      <c r="V187" s="14">
        <f>IF(A187&lt;=(Drivers!B19+Drivers!B20),(T187+U187/2)*Drivers!B36/12,T187*Drivers!B36/12)</f>
        <v>78559.04683</v>
      </c>
      <c r="W187" s="14">
        <f>IF(A187&gt;(Drivers!B19+Drivers!B20),MIN(T187,MAX(0,Summary!B32/12-V187)),0)</f>
        <v>179842.8076</v>
      </c>
      <c r="X187" s="14">
        <f>IF(A187=(Drivers!B19+1),Summary!B31*Drivers!B38,0)</f>
        <v>0</v>
      </c>
      <c r="Y187" s="14">
        <f t="shared" si="3"/>
        <v>8017622.949</v>
      </c>
      <c r="Z187" s="14">
        <f t="shared" si="4"/>
        <v>278152.9901</v>
      </c>
      <c r="AA187" s="14">
        <f t="shared" si="7"/>
        <v>-124317709.5</v>
      </c>
      <c r="AB187" s="14">
        <f t="shared" si="5"/>
        <v>536554.8445</v>
      </c>
      <c r="AC187" s="14">
        <f>(E187+F187+G187+H187)*Drivers!B45</f>
        <v>0</v>
      </c>
      <c r="AD187" s="14">
        <f>IF(A187&lt;=Summary!B18,AB187+IF(A187=Summary!B18,Summary!B40,0),0)</f>
        <v>0</v>
      </c>
      <c r="AE187" s="14">
        <f>IF(A187&lt;=Summary!B18,Z187+IF(A187=Summary!B18,Summary!B40-Y187,0),0)</f>
        <v>0</v>
      </c>
      <c r="AF187" s="14">
        <f>AD187-IF(A187=0,Drivers!B44,0)</f>
        <v>0</v>
      </c>
      <c r="AG187" s="14">
        <f t="shared" si="8"/>
        <v>-107246461.1</v>
      </c>
    </row>
    <row r="188">
      <c r="A188" s="2">
        <v>186.0</v>
      </c>
      <c r="B188" s="15">
        <f>EDATE(Setup!B2,A188)</f>
        <v>51939</v>
      </c>
      <c r="C188" s="2" t="str">
        <f>IF(A188=0,"T0",IF(A188&lt;=Drivers!B19,"Preconstruction",IF(A188&lt;=(Drivers!B19+Drivers!B20),"Construction","Trading")))</f>
        <v>Trading</v>
      </c>
      <c r="D188" s="12">
        <f t="array" ref="D188">IF(AND(A188&gt;Drivers!B19,A188&lt;=(Drivers!B19+Drivers!B20)),SIN(PI()*(A188-Drivers!B19-0.5)/Drivers!B20)/SUMPRODUCT(SIN(PI()*(SEQUENCE(Drivers!B20,1)-0.5)/Drivers!B20)),0)</f>
        <v>0</v>
      </c>
      <c r="E188" s="14">
        <f>(Summary!B10+Summary!B12)*D188*(1+Drivers!B21)^(A188/12)</f>
        <v>0</v>
      </c>
      <c r="F188" s="14">
        <f>IF(AND(A188&gt;0,A188&lt;=Drivers!B19),Summary!B11*Drivers!B40/Drivers!B19*(1+Drivers!B21)^(A188/12),Summary!B11*(1-Drivers!B40 )*D188*(1+Drivers!B21)^(A188/12))</f>
        <v>0</v>
      </c>
      <c r="G188" s="14">
        <f>IF(AND(A188&gt;0,A188&lt;=2),Drivers!B16/2,0)</f>
        <v>0</v>
      </c>
      <c r="H188" s="14">
        <f>IF(A188=(Drivers!B19+Drivers!B20),Drivers!B17*(1+Drivers!B21)^(A188/12),0)</f>
        <v>0</v>
      </c>
      <c r="I188" s="14">
        <f>IF(AND(A188&gt;0,A188&lt;=(Drivers!B19+Drivers!B20)),Drivers!B18*(1+Drivers!B23)^(A188/12),0)</f>
        <v>0</v>
      </c>
      <c r="J188" s="14">
        <f t="shared" si="1"/>
        <v>0</v>
      </c>
      <c r="K188" s="12">
        <f>IF(A188&gt;(Drivers!B19+Drivers!B20),MIN(1,0.5+0.5*(A188-(Drivers!B19+Drivers!B20))/Drivers!B39),0)</f>
        <v>1</v>
      </c>
      <c r="L188" s="14">
        <f>Drivers!B2*(B188-B187)*Drivers!B24*(1+Drivers!B22)^(A188/12)*Drivers!B25*K188</f>
        <v>1388476.567</v>
      </c>
      <c r="M188" s="14">
        <f>L188*Drivers!B26</f>
        <v>277695.3134</v>
      </c>
      <c r="N188" s="14">
        <f>(L188+M188)*Drivers!B27</f>
        <v>583160.1581</v>
      </c>
      <c r="O188" s="14">
        <f>IF(A188&gt;(Drivers!B19+Drivers!B20),Drivers!B28/12*(1+Drivers!B23)^(A188/12),0)</f>
        <v>612203.0718</v>
      </c>
      <c r="P188" s="14">
        <f>(L188+M188)*Drivers!B29</f>
        <v>66646.87521</v>
      </c>
      <c r="Q188" s="14">
        <f>Drivers!B3*Drivers!B30*(1+Drivers!B22)^(A188/12)*Drivers!B31*(1-Drivers!B32 )*K188</f>
        <v>117083.8375</v>
      </c>
      <c r="R188" s="14">
        <f>IF(A188&gt;(Drivers!B19+Drivers!B20),Drivers!B33/12*(1+Drivers!B23)^(A188/12),0)</f>
        <v>91830.46077</v>
      </c>
      <c r="S188" s="14">
        <f t="shared" si="2"/>
        <v>429415.1519</v>
      </c>
      <c r="T188" s="14">
        <f t="shared" si="6"/>
        <v>8017622.949</v>
      </c>
      <c r="U188" s="14">
        <f>IF(AND(A188&gt;Drivers!B19,A188&lt;=(Drivers!B19+Drivers!B20)),Summary!B31*D188,0)</f>
        <v>0</v>
      </c>
      <c r="V188" s="14">
        <f>IF(A188&lt;=(Drivers!B19+Drivers!B20),(T188+U188/2)*Drivers!B36/12,T188*Drivers!B36/12)</f>
        <v>76835.55326</v>
      </c>
      <c r="W188" s="14">
        <f>IF(A188&gt;(Drivers!B19+Drivers!B20),MIN(T188,MAX(0,Summary!B32/12-V188)),0)</f>
        <v>181566.3012</v>
      </c>
      <c r="X188" s="14">
        <f>IF(A188=(Drivers!B19+1),Summary!B31*Drivers!B38,0)</f>
        <v>0</v>
      </c>
      <c r="Y188" s="14">
        <f t="shared" si="3"/>
        <v>7836056.647</v>
      </c>
      <c r="Z188" s="14">
        <f t="shared" si="4"/>
        <v>171013.2974</v>
      </c>
      <c r="AA188" s="14">
        <f t="shared" si="7"/>
        <v>-124146696.2</v>
      </c>
      <c r="AB188" s="14">
        <f t="shared" si="5"/>
        <v>429415.1519</v>
      </c>
      <c r="AC188" s="14">
        <f>(E188+F188+G188+H188)*Drivers!B45</f>
        <v>0</v>
      </c>
      <c r="AD188" s="14">
        <f>IF(A188&lt;=Summary!B18,AB188+IF(A188=Summary!B18,Summary!B40,0),0)</f>
        <v>0</v>
      </c>
      <c r="AE188" s="14">
        <f>IF(A188&lt;=Summary!B18,Z188+IF(A188=Summary!B18,Summary!B40-Y188,0),0)</f>
        <v>0</v>
      </c>
      <c r="AF188" s="14">
        <f>AD188-IF(A188=0,Drivers!B44,0)</f>
        <v>0</v>
      </c>
      <c r="AG188" s="14">
        <f t="shared" si="8"/>
        <v>-106817045.9</v>
      </c>
    </row>
    <row r="189">
      <c r="A189" s="2">
        <v>187.0</v>
      </c>
      <c r="B189" s="15">
        <f>EDATE(Setup!B2,A189)</f>
        <v>51970</v>
      </c>
      <c r="C189" s="2" t="str">
        <f>IF(A189=0,"T0",IF(A189&lt;=Drivers!B19,"Preconstruction",IF(A189&lt;=(Drivers!B19+Drivers!B20),"Construction","Trading")))</f>
        <v>Trading</v>
      </c>
      <c r="D189" s="12">
        <f t="array" ref="D189">IF(AND(A189&gt;Drivers!B19,A189&lt;=(Drivers!B19+Drivers!B20)),SIN(PI()*(A189-Drivers!B19-0.5)/Drivers!B20)/SUMPRODUCT(SIN(PI()*(SEQUENCE(Drivers!B20,1)-0.5)/Drivers!B20)),0)</f>
        <v>0</v>
      </c>
      <c r="E189" s="14">
        <f>(Summary!B10+Summary!B12)*D189*(1+Drivers!B21)^(A189/12)</f>
        <v>0</v>
      </c>
      <c r="F189" s="14">
        <f>IF(AND(A189&gt;0,A189&lt;=Drivers!B19),Summary!B11*Drivers!B40/Drivers!B19*(1+Drivers!B21)^(A189/12),Summary!B11*(1-Drivers!B40 )*D189*(1+Drivers!B21)^(A189/12))</f>
        <v>0</v>
      </c>
      <c r="G189" s="14">
        <f>IF(AND(A189&gt;0,A189&lt;=2),Drivers!B16/2,0)</f>
        <v>0</v>
      </c>
      <c r="H189" s="14">
        <f>IF(A189=(Drivers!B19+Drivers!B20),Drivers!B17*(1+Drivers!B21)^(A189/12),0)</f>
        <v>0</v>
      </c>
      <c r="I189" s="14">
        <f>IF(AND(A189&gt;0,A189&lt;=(Drivers!B19+Drivers!B20)),Drivers!B18*(1+Drivers!B23)^(A189/12),0)</f>
        <v>0</v>
      </c>
      <c r="J189" s="14">
        <f t="shared" si="1"/>
        <v>0</v>
      </c>
      <c r="K189" s="12">
        <f>IF(A189&gt;(Drivers!B19+Drivers!B20),MIN(1,0.5+0.5*(A189-(Drivers!B19+Drivers!B20))/Drivers!B39),0)</f>
        <v>1</v>
      </c>
      <c r="L189" s="14">
        <f>Drivers!B2*(B189-B188)*Drivers!B24*(1+Drivers!B22)^(A189/12)*Drivers!B25*K189</f>
        <v>1542274.443</v>
      </c>
      <c r="M189" s="14">
        <f>L189*Drivers!B26</f>
        <v>308454.8887</v>
      </c>
      <c r="N189" s="14">
        <f>(L189+M189)*Drivers!B27</f>
        <v>647755.2662</v>
      </c>
      <c r="O189" s="14">
        <f>IF(A189&gt;(Drivers!B19+Drivers!B20),Drivers!B28/12*(1+Drivers!B23)^(A189/12),0)</f>
        <v>614207.2654</v>
      </c>
      <c r="P189" s="14">
        <f>(L189+M189)*Drivers!B29</f>
        <v>74029.17328</v>
      </c>
      <c r="Q189" s="14">
        <f>Drivers!B3*Drivers!B30*(1+Drivers!B22)^(A189/12)*Drivers!B31*(1-Drivers!B32 )*K189</f>
        <v>117467.1395</v>
      </c>
      <c r="R189" s="14">
        <f>IF(A189&gt;(Drivers!B19+Drivers!B20),Drivers!B33/12*(1+Drivers!B23)^(A189/12),0)</f>
        <v>92131.08981</v>
      </c>
      <c r="S189" s="14">
        <f t="shared" si="2"/>
        <v>540073.6769</v>
      </c>
      <c r="T189" s="14">
        <f t="shared" si="6"/>
        <v>7836056.647</v>
      </c>
      <c r="U189" s="14">
        <f>IF(AND(A189&gt;Drivers!B19,A189&lt;=(Drivers!B19+Drivers!B20)),Summary!B31*D189,0)</f>
        <v>0</v>
      </c>
      <c r="V189" s="14">
        <f>IF(A189&lt;=(Drivers!B19+Drivers!B20),(T189+U189/2)*Drivers!B36/12,T189*Drivers!B36/12)</f>
        <v>75095.54287</v>
      </c>
      <c r="W189" s="14">
        <f>IF(A189&gt;(Drivers!B19+Drivers!B20),MIN(T189,MAX(0,Summary!B32/12-V189)),0)</f>
        <v>183306.3115</v>
      </c>
      <c r="X189" s="14">
        <f>IF(A189=(Drivers!B19+1),Summary!B31*Drivers!B38,0)</f>
        <v>0</v>
      </c>
      <c r="Y189" s="14">
        <f t="shared" si="3"/>
        <v>7652750.336</v>
      </c>
      <c r="Z189" s="14">
        <f t="shared" si="4"/>
        <v>281671.8224</v>
      </c>
      <c r="AA189" s="14">
        <f t="shared" si="7"/>
        <v>-123865024.3</v>
      </c>
      <c r="AB189" s="14">
        <f t="shared" si="5"/>
        <v>540073.6769</v>
      </c>
      <c r="AC189" s="14">
        <f>(E189+F189+G189+H189)*Drivers!B45</f>
        <v>0</v>
      </c>
      <c r="AD189" s="14">
        <f>IF(A189&lt;=Summary!B18,AB189+IF(A189=Summary!B18,Summary!B40,0),0)</f>
        <v>0</v>
      </c>
      <c r="AE189" s="14">
        <f>IF(A189&lt;=Summary!B18,Z189+IF(A189=Summary!B18,Summary!B40-Y189,0),0)</f>
        <v>0</v>
      </c>
      <c r="AF189" s="14">
        <f>AD189-IF(A189=0,Drivers!B44,0)</f>
        <v>0</v>
      </c>
      <c r="AG189" s="14">
        <f t="shared" si="8"/>
        <v>-106276972.2</v>
      </c>
    </row>
    <row r="190">
      <c r="A190" s="2">
        <v>188.0</v>
      </c>
      <c r="B190" s="15">
        <f>EDATE(Setup!B2,A190)</f>
        <v>52000</v>
      </c>
      <c r="C190" s="2" t="str">
        <f>IF(A190=0,"T0",IF(A190&lt;=Drivers!B19,"Preconstruction",IF(A190&lt;=(Drivers!B19+Drivers!B20),"Construction","Trading")))</f>
        <v>Trading</v>
      </c>
      <c r="D190" s="12">
        <f t="array" ref="D190">IF(AND(A190&gt;Drivers!B19,A190&lt;=(Drivers!B19+Drivers!B20)),SIN(PI()*(A190-Drivers!B19-0.5)/Drivers!B20)/SUMPRODUCT(SIN(PI()*(SEQUENCE(Drivers!B20,1)-0.5)/Drivers!B20)),0)</f>
        <v>0</v>
      </c>
      <c r="E190" s="14">
        <f>(Summary!B10+Summary!B12)*D190*(1+Drivers!B21)^(A190/12)</f>
        <v>0</v>
      </c>
      <c r="F190" s="14">
        <f>IF(AND(A190&gt;0,A190&lt;=Drivers!B19),Summary!B11*Drivers!B40/Drivers!B19*(1+Drivers!B21)^(A190/12),Summary!B11*(1-Drivers!B40 )*D190*(1+Drivers!B21)^(A190/12))</f>
        <v>0</v>
      </c>
      <c r="G190" s="14">
        <f>IF(AND(A190&gt;0,A190&lt;=2),Drivers!B16/2,0)</f>
        <v>0</v>
      </c>
      <c r="H190" s="14">
        <f>IF(A190=(Drivers!B19+Drivers!B20),Drivers!B17*(1+Drivers!B21)^(A190/12),0)</f>
        <v>0</v>
      </c>
      <c r="I190" s="14">
        <f>IF(AND(A190&gt;0,A190&lt;=(Drivers!B19+Drivers!B20)),Drivers!B18*(1+Drivers!B23)^(A190/12),0)</f>
        <v>0</v>
      </c>
      <c r="J190" s="14">
        <f t="shared" si="1"/>
        <v>0</v>
      </c>
      <c r="K190" s="12">
        <f>IF(A190&gt;(Drivers!B19+Drivers!B20),MIN(1,0.5+0.5*(A190-(Drivers!B19+Drivers!B20))/Drivers!B39),0)</f>
        <v>1</v>
      </c>
      <c r="L190" s="14">
        <f>Drivers!B2*(B190-B189)*Drivers!B24*(1+Drivers!B22)^(A190/12)*Drivers!B25*K190</f>
        <v>1497409.789</v>
      </c>
      <c r="M190" s="14">
        <f>L190*Drivers!B26</f>
        <v>299481.9578</v>
      </c>
      <c r="N190" s="14">
        <f>(L190+M190)*Drivers!B27</f>
        <v>628912.1114</v>
      </c>
      <c r="O190" s="14">
        <f>IF(A190&gt;(Drivers!B19+Drivers!B20),Drivers!B28/12*(1+Drivers!B23)^(A190/12),0)</f>
        <v>616218.0201</v>
      </c>
      <c r="P190" s="14">
        <f>(L190+M190)*Drivers!B29</f>
        <v>71875.66987</v>
      </c>
      <c r="Q190" s="14">
        <f>Drivers!B3*Drivers!B30*(1+Drivers!B22)^(A190/12)*Drivers!B31*(1-Drivers!B32 )*K190</f>
        <v>117851.6964</v>
      </c>
      <c r="R190" s="14">
        <f>IF(A190&gt;(Drivers!B19+Drivers!B20),Drivers!B33/12*(1+Drivers!B23)^(A190/12),0)</f>
        <v>92432.70302</v>
      </c>
      <c r="S190" s="14">
        <f t="shared" si="2"/>
        <v>505304.9387</v>
      </c>
      <c r="T190" s="14">
        <f t="shared" si="6"/>
        <v>7652750.336</v>
      </c>
      <c r="U190" s="14">
        <f>IF(AND(A190&gt;Drivers!B19,A190&lt;=(Drivers!B19+Drivers!B20)),Summary!B31*D190,0)</f>
        <v>0</v>
      </c>
      <c r="V190" s="14">
        <f>IF(A190&lt;=(Drivers!B19+Drivers!B20),(T190+U190/2)*Drivers!B36/12,T190*Drivers!B36/12)</f>
        <v>73338.85739</v>
      </c>
      <c r="W190" s="14">
        <f>IF(A190&gt;(Drivers!B19+Drivers!B20),MIN(T190,MAX(0,Summary!B32/12-V190)),0)</f>
        <v>185062.997</v>
      </c>
      <c r="X190" s="14">
        <f>IF(A190=(Drivers!B19+1),Summary!B31*Drivers!B38,0)</f>
        <v>0</v>
      </c>
      <c r="Y190" s="14">
        <f t="shared" si="3"/>
        <v>7467687.339</v>
      </c>
      <c r="Z190" s="14">
        <f t="shared" si="4"/>
        <v>246903.0843</v>
      </c>
      <c r="AA190" s="14">
        <f t="shared" si="7"/>
        <v>-123618121.3</v>
      </c>
      <c r="AB190" s="14">
        <f t="shared" si="5"/>
        <v>505304.9387</v>
      </c>
      <c r="AC190" s="14">
        <f>(E190+F190+G190+H190)*Drivers!B45</f>
        <v>0</v>
      </c>
      <c r="AD190" s="14">
        <f>IF(A190&lt;=Summary!B18,AB190+IF(A190=Summary!B18,Summary!B40,0),0)</f>
        <v>0</v>
      </c>
      <c r="AE190" s="14">
        <f>IF(A190&lt;=Summary!B18,Z190+IF(A190=Summary!B18,Summary!B40-Y190,0),0)</f>
        <v>0</v>
      </c>
      <c r="AF190" s="14">
        <f>AD190-IF(A190=0,Drivers!B44,0)</f>
        <v>0</v>
      </c>
      <c r="AG190" s="14">
        <f t="shared" si="8"/>
        <v>-105771667.3</v>
      </c>
    </row>
    <row r="191">
      <c r="A191" s="2">
        <v>189.0</v>
      </c>
      <c r="B191" s="15">
        <f>EDATE(Setup!B2,A191)</f>
        <v>52031</v>
      </c>
      <c r="C191" s="2" t="str">
        <f>IF(A191=0,"T0",IF(A191&lt;=Drivers!B19,"Preconstruction",IF(A191&lt;=(Drivers!B19+Drivers!B20),"Construction","Trading")))</f>
        <v>Trading</v>
      </c>
      <c r="D191" s="12">
        <f t="array" ref="D191">IF(AND(A191&gt;Drivers!B19,A191&lt;=(Drivers!B19+Drivers!B20)),SIN(PI()*(A191-Drivers!B19-0.5)/Drivers!B20)/SUMPRODUCT(SIN(PI()*(SEQUENCE(Drivers!B20,1)-0.5)/Drivers!B20)),0)</f>
        <v>0</v>
      </c>
      <c r="E191" s="14">
        <f>(Summary!B10+Summary!B12)*D191*(1+Drivers!B21)^(A191/12)</f>
        <v>0</v>
      </c>
      <c r="F191" s="14">
        <f>IF(AND(A191&gt;0,A191&lt;=Drivers!B19),Summary!B11*Drivers!B40/Drivers!B19*(1+Drivers!B21)^(A191/12),Summary!B11*(1-Drivers!B40 )*D191*(1+Drivers!B21)^(A191/12))</f>
        <v>0</v>
      </c>
      <c r="G191" s="14">
        <f>IF(AND(A191&gt;0,A191&lt;=2),Drivers!B16/2,0)</f>
        <v>0</v>
      </c>
      <c r="H191" s="14">
        <f>IF(A191=(Drivers!B19+Drivers!B20),Drivers!B17*(1+Drivers!B21)^(A191/12),0)</f>
        <v>0</v>
      </c>
      <c r="I191" s="14">
        <f>IF(AND(A191&gt;0,A191&lt;=(Drivers!B19+Drivers!B20)),Drivers!B18*(1+Drivers!B23)^(A191/12),0)</f>
        <v>0</v>
      </c>
      <c r="J191" s="14">
        <f t="shared" si="1"/>
        <v>0</v>
      </c>
      <c r="K191" s="12">
        <f>IF(A191&gt;(Drivers!B19+Drivers!B20),MIN(1,0.5+0.5*(A191-(Drivers!B19+Drivers!B20))/Drivers!B39),0)</f>
        <v>1</v>
      </c>
      <c r="L191" s="14">
        <f>Drivers!B2*(B191-B190)*Drivers!B24*(1+Drivers!B22)^(A191/12)*Drivers!B25*K191</f>
        <v>1552388.983</v>
      </c>
      <c r="M191" s="14">
        <f>L191*Drivers!B26</f>
        <v>310477.7966</v>
      </c>
      <c r="N191" s="14">
        <f>(L191+M191)*Drivers!B27</f>
        <v>652003.3728</v>
      </c>
      <c r="O191" s="14">
        <f>IF(A191&gt;(Drivers!B19+Drivers!B20),Drivers!B28/12*(1+Drivers!B23)^(A191/12),0)</f>
        <v>618235.3576</v>
      </c>
      <c r="P191" s="14">
        <f>(L191+M191)*Drivers!B29</f>
        <v>74514.67118</v>
      </c>
      <c r="Q191" s="14">
        <f>Drivers!B3*Drivers!B30*(1+Drivers!B22)^(A191/12)*Drivers!B31*(1-Drivers!B32 )*K191</f>
        <v>118237.5121</v>
      </c>
      <c r="R191" s="14">
        <f>IF(A191&gt;(Drivers!B19+Drivers!B20),Drivers!B33/12*(1+Drivers!B23)^(A191/12),0)</f>
        <v>92735.30364</v>
      </c>
      <c r="S191" s="14">
        <f t="shared" si="2"/>
        <v>543615.5864</v>
      </c>
      <c r="T191" s="14">
        <f t="shared" si="6"/>
        <v>7467687.339</v>
      </c>
      <c r="U191" s="14">
        <f>IF(AND(A191&gt;Drivers!B19,A191&lt;=(Drivers!B19+Drivers!B20)),Summary!B31*D191,0)</f>
        <v>0</v>
      </c>
      <c r="V191" s="14">
        <f>IF(A191&lt;=(Drivers!B19+Drivers!B20),(T191+U191/2)*Drivers!B36/12,T191*Drivers!B36/12)</f>
        <v>71565.337</v>
      </c>
      <c r="W191" s="14">
        <f>IF(A191&gt;(Drivers!B19+Drivers!B20),MIN(T191,MAX(0,Summary!B32/12-V191)),0)</f>
        <v>186836.5174</v>
      </c>
      <c r="X191" s="14">
        <f>IF(A191=(Drivers!B19+1),Summary!B31*Drivers!B38,0)</f>
        <v>0</v>
      </c>
      <c r="Y191" s="14">
        <f t="shared" si="3"/>
        <v>7280850.821</v>
      </c>
      <c r="Z191" s="14">
        <f t="shared" si="4"/>
        <v>285213.732</v>
      </c>
      <c r="AA191" s="14">
        <f t="shared" si="7"/>
        <v>-123332907.5</v>
      </c>
      <c r="AB191" s="14">
        <f t="shared" si="5"/>
        <v>543615.5864</v>
      </c>
      <c r="AC191" s="14">
        <f>(E191+F191+G191+H191)*Drivers!B45</f>
        <v>0</v>
      </c>
      <c r="AD191" s="14">
        <f>IF(A191&lt;=Summary!B18,AB191+IF(A191=Summary!B18,Summary!B40,0),0)</f>
        <v>0</v>
      </c>
      <c r="AE191" s="14">
        <f>IF(A191&lt;=Summary!B18,Z191+IF(A191=Summary!B18,Summary!B40-Y191,0),0)</f>
        <v>0</v>
      </c>
      <c r="AF191" s="14">
        <f>AD191-IF(A191=0,Drivers!B44,0)</f>
        <v>0</v>
      </c>
      <c r="AG191" s="14">
        <f t="shared" si="8"/>
        <v>-105228051.7</v>
      </c>
    </row>
    <row r="192">
      <c r="A192" s="2">
        <v>190.0</v>
      </c>
      <c r="B192" s="15">
        <f>EDATE(Setup!B2,A192)</f>
        <v>52061</v>
      </c>
      <c r="C192" s="2" t="str">
        <f>IF(A192=0,"T0",IF(A192&lt;=Drivers!B19,"Preconstruction",IF(A192&lt;=(Drivers!B19+Drivers!B20),"Construction","Trading")))</f>
        <v>Trading</v>
      </c>
      <c r="D192" s="12">
        <f t="array" ref="D192">IF(AND(A192&gt;Drivers!B19,A192&lt;=(Drivers!B19+Drivers!B20)),SIN(PI()*(A192-Drivers!B19-0.5)/Drivers!B20)/SUMPRODUCT(SIN(PI()*(SEQUENCE(Drivers!B20,1)-0.5)/Drivers!B20)),0)</f>
        <v>0</v>
      </c>
      <c r="E192" s="14">
        <f>(Summary!B10+Summary!B12)*D192*(1+Drivers!B21)^(A192/12)</f>
        <v>0</v>
      </c>
      <c r="F192" s="14">
        <f>IF(AND(A192&gt;0,A192&lt;=Drivers!B19),Summary!B11*Drivers!B40/Drivers!B19*(1+Drivers!B21)^(A192/12),Summary!B11*(1-Drivers!B40 )*D192*(1+Drivers!B21)^(A192/12))</f>
        <v>0</v>
      </c>
      <c r="G192" s="14">
        <f>IF(AND(A192&gt;0,A192&lt;=2),Drivers!B16/2,0)</f>
        <v>0</v>
      </c>
      <c r="H192" s="14">
        <f>IF(A192=(Drivers!B19+Drivers!B20),Drivers!B17*(1+Drivers!B21)^(A192/12),0)</f>
        <v>0</v>
      </c>
      <c r="I192" s="14">
        <f>IF(AND(A192&gt;0,A192&lt;=(Drivers!B19+Drivers!B20)),Drivers!B18*(1+Drivers!B23)^(A192/12),0)</f>
        <v>0</v>
      </c>
      <c r="J192" s="14">
        <f t="shared" si="1"/>
        <v>0</v>
      </c>
      <c r="K192" s="12">
        <f>IF(A192&gt;(Drivers!B19+Drivers!B20),MIN(1,0.5+0.5*(A192-(Drivers!B19+Drivers!B20))/Drivers!B39),0)</f>
        <v>1</v>
      </c>
      <c r="L192" s="14">
        <f>Drivers!B2*(B192-B191)*Drivers!B24*(1+Drivers!B22)^(A192/12)*Drivers!B25*K192</f>
        <v>1507230.097</v>
      </c>
      <c r="M192" s="14">
        <f>L192*Drivers!B26</f>
        <v>301446.0194</v>
      </c>
      <c r="N192" s="14">
        <f>(L192+M192)*Drivers!B27</f>
        <v>633036.6408</v>
      </c>
      <c r="O192" s="14">
        <f>IF(A192&gt;(Drivers!B19+Drivers!B20),Drivers!B28/12*(1+Drivers!B23)^(A192/12),0)</f>
        <v>620259.2993</v>
      </c>
      <c r="P192" s="14">
        <f>(L192+M192)*Drivers!B29</f>
        <v>72347.04467</v>
      </c>
      <c r="Q192" s="14">
        <f>Drivers!B3*Drivers!B30*(1+Drivers!B22)^(A192/12)*Drivers!B31*(1-Drivers!B32 )*K192</f>
        <v>118624.591</v>
      </c>
      <c r="R192" s="14">
        <f>IF(A192&gt;(Drivers!B19+Drivers!B20),Drivers!B33/12*(1+Drivers!B23)^(A192/12),0)</f>
        <v>93038.89489</v>
      </c>
      <c r="S192" s="14">
        <f t="shared" si="2"/>
        <v>508618.828</v>
      </c>
      <c r="T192" s="14">
        <f t="shared" si="6"/>
        <v>7280850.821</v>
      </c>
      <c r="U192" s="14">
        <f>IF(AND(A192&gt;Drivers!B19,A192&lt;=(Drivers!B19+Drivers!B20)),Summary!B31*D192,0)</f>
        <v>0</v>
      </c>
      <c r="V192" s="14">
        <f>IF(A192&lt;=(Drivers!B19+Drivers!B20),(T192+U192/2)*Drivers!B36/12,T192*Drivers!B36/12)</f>
        <v>69774.82037</v>
      </c>
      <c r="W192" s="14">
        <f>IF(A192&gt;(Drivers!B19+Drivers!B20),MIN(T192,MAX(0,Summary!B32/12-V192)),0)</f>
        <v>188627.034</v>
      </c>
      <c r="X192" s="14">
        <f>IF(A192=(Drivers!B19+1),Summary!B31*Drivers!B38,0)</f>
        <v>0</v>
      </c>
      <c r="Y192" s="14">
        <f t="shared" si="3"/>
        <v>7092223.787</v>
      </c>
      <c r="Z192" s="14">
        <f t="shared" si="4"/>
        <v>250216.9736</v>
      </c>
      <c r="AA192" s="14">
        <f t="shared" si="7"/>
        <v>-123082690.5</v>
      </c>
      <c r="AB192" s="14">
        <f t="shared" si="5"/>
        <v>508618.828</v>
      </c>
      <c r="AC192" s="14">
        <f>(E192+F192+G192+H192)*Drivers!B45</f>
        <v>0</v>
      </c>
      <c r="AD192" s="14">
        <f>IF(A192&lt;=Summary!B18,AB192+IF(A192=Summary!B18,Summary!B40,0),0)</f>
        <v>0</v>
      </c>
      <c r="AE192" s="14">
        <f>IF(A192&lt;=Summary!B18,Z192+IF(A192=Summary!B18,Summary!B40-Y192,0),0)</f>
        <v>0</v>
      </c>
      <c r="AF192" s="14">
        <f>AD192-IF(A192=0,Drivers!B44,0)</f>
        <v>0</v>
      </c>
      <c r="AG192" s="14">
        <f t="shared" si="8"/>
        <v>-104719432.9</v>
      </c>
    </row>
    <row r="193">
      <c r="A193" s="2">
        <v>191.0</v>
      </c>
      <c r="B193" s="15">
        <f>EDATE(Setup!B2,A193)</f>
        <v>52092</v>
      </c>
      <c r="C193" s="2" t="str">
        <f>IF(A193=0,"T0",IF(A193&lt;=Drivers!B19,"Preconstruction",IF(A193&lt;=(Drivers!B19+Drivers!B20),"Construction","Trading")))</f>
        <v>Trading</v>
      </c>
      <c r="D193" s="12">
        <f t="array" ref="D193">IF(AND(A193&gt;Drivers!B19,A193&lt;=(Drivers!B19+Drivers!B20)),SIN(PI()*(A193-Drivers!B19-0.5)/Drivers!B20)/SUMPRODUCT(SIN(PI()*(SEQUENCE(Drivers!B20,1)-0.5)/Drivers!B20)),0)</f>
        <v>0</v>
      </c>
      <c r="E193" s="14">
        <f>(Summary!B10+Summary!B12)*D193*(1+Drivers!B21)^(A193/12)</f>
        <v>0</v>
      </c>
      <c r="F193" s="14">
        <f>IF(AND(A193&gt;0,A193&lt;=Drivers!B19),Summary!B11*Drivers!B40/Drivers!B19*(1+Drivers!B21)^(A193/12),Summary!B11*(1-Drivers!B40 )*D193*(1+Drivers!B21)^(A193/12))</f>
        <v>0</v>
      </c>
      <c r="G193" s="14">
        <f>IF(AND(A193&gt;0,A193&lt;=2),Drivers!B16/2,0)</f>
        <v>0</v>
      </c>
      <c r="H193" s="14">
        <f>IF(A193=(Drivers!B19+Drivers!B20),Drivers!B17*(1+Drivers!B21)^(A193/12),0)</f>
        <v>0</v>
      </c>
      <c r="I193" s="14">
        <f>IF(AND(A193&gt;0,A193&lt;=(Drivers!B19+Drivers!B20)),Drivers!B18*(1+Drivers!B23)^(A193/12),0)</f>
        <v>0</v>
      </c>
      <c r="J193" s="14">
        <f t="shared" si="1"/>
        <v>0</v>
      </c>
      <c r="K193" s="12">
        <f>IF(A193&gt;(Drivers!B19+Drivers!B20),MIN(1,0.5+0.5*(A193-(Drivers!B19+Drivers!B20))/Drivers!B39),0)</f>
        <v>1</v>
      </c>
      <c r="L193" s="14">
        <f>Drivers!B2*(B193-B192)*Drivers!B24*(1+Drivers!B22)^(A193/12)*Drivers!B25*K193</f>
        <v>1562569.856</v>
      </c>
      <c r="M193" s="14">
        <f>L193*Drivers!B26</f>
        <v>312513.9711</v>
      </c>
      <c r="N193" s="14">
        <f>(L193+M193)*Drivers!B27</f>
        <v>656279.3393</v>
      </c>
      <c r="O193" s="14">
        <f>IF(A193&gt;(Drivers!B19+Drivers!B20),Drivers!B28/12*(1+Drivers!B23)^(A193/12),0)</f>
        <v>622289.8668</v>
      </c>
      <c r="P193" s="14">
        <f>(L193+M193)*Drivers!B29</f>
        <v>75003.35307</v>
      </c>
      <c r="Q193" s="14">
        <f>Drivers!B3*Drivers!B30*(1+Drivers!B22)^(A193/12)*Drivers!B31*(1-Drivers!B32 )*K193</f>
        <v>119012.937</v>
      </c>
      <c r="R193" s="14">
        <f>IF(A193&gt;(Drivers!B19+Drivers!B20),Drivers!B33/12*(1+Drivers!B23)^(A193/12),0)</f>
        <v>93343.48002</v>
      </c>
      <c r="S193" s="14">
        <f t="shared" si="2"/>
        <v>547180.7245</v>
      </c>
      <c r="T193" s="14">
        <f t="shared" si="6"/>
        <v>7092223.787</v>
      </c>
      <c r="U193" s="14">
        <f>IF(AND(A193&gt;Drivers!B19,A193&lt;=(Drivers!B19+Drivers!B20)),Summary!B31*D193,0)</f>
        <v>0</v>
      </c>
      <c r="V193" s="14">
        <f>IF(A193&lt;=(Drivers!B19+Drivers!B20),(T193+U193/2)*Drivers!B36/12,T193*Drivers!B36/12)</f>
        <v>67967.14463</v>
      </c>
      <c r="W193" s="14">
        <f>IF(A193&gt;(Drivers!B19+Drivers!B20),MIN(T193,MAX(0,Summary!B32/12-V193)),0)</f>
        <v>190434.7098</v>
      </c>
      <c r="X193" s="14">
        <f>IF(A193=(Drivers!B19+1),Summary!B31*Drivers!B38,0)</f>
        <v>0</v>
      </c>
      <c r="Y193" s="14">
        <f t="shared" si="3"/>
        <v>6901789.078</v>
      </c>
      <c r="Z193" s="14">
        <f t="shared" si="4"/>
        <v>288778.8701</v>
      </c>
      <c r="AA193" s="14">
        <f t="shared" si="7"/>
        <v>-122793911.7</v>
      </c>
      <c r="AB193" s="14">
        <f t="shared" si="5"/>
        <v>547180.7245</v>
      </c>
      <c r="AC193" s="14">
        <f>(E193+F193+G193+H193)*Drivers!B45</f>
        <v>0</v>
      </c>
      <c r="AD193" s="14">
        <f>IF(A193&lt;=Summary!B18,AB193+IF(A193=Summary!B18,Summary!B40,0),0)</f>
        <v>0</v>
      </c>
      <c r="AE193" s="14">
        <f>IF(A193&lt;=Summary!B18,Z193+IF(A193=Summary!B18,Summary!B40-Y193,0),0)</f>
        <v>0</v>
      </c>
      <c r="AF193" s="14">
        <f>AD193-IF(A193=0,Drivers!B44,0)</f>
        <v>0</v>
      </c>
      <c r="AG193" s="14">
        <f t="shared" si="8"/>
        <v>-104172252.2</v>
      </c>
    </row>
    <row r="194">
      <c r="A194" s="2">
        <v>192.0</v>
      </c>
      <c r="B194" s="15">
        <f>EDATE(Setup!B2,A194)</f>
        <v>52123</v>
      </c>
      <c r="C194" s="2" t="str">
        <f>IF(A194=0,"T0",IF(A194&lt;=Drivers!B19,"Preconstruction",IF(A194&lt;=(Drivers!B19+Drivers!B20),"Construction","Trading")))</f>
        <v>Trading</v>
      </c>
      <c r="D194" s="12">
        <f t="array" ref="D194">IF(AND(A194&gt;Drivers!B19,A194&lt;=(Drivers!B19+Drivers!B20)),SIN(PI()*(A194-Drivers!B19-0.5)/Drivers!B20)/SUMPRODUCT(SIN(PI()*(SEQUENCE(Drivers!B20,1)-0.5)/Drivers!B20)),0)</f>
        <v>0</v>
      </c>
      <c r="E194" s="14">
        <f>(Summary!B10+Summary!B12)*D194*(1+Drivers!B21)^(A194/12)</f>
        <v>0</v>
      </c>
      <c r="F194" s="14">
        <f>IF(AND(A194&gt;0,A194&lt;=Drivers!B19),Summary!B11*Drivers!B40/Drivers!B19*(1+Drivers!B21)^(A194/12),Summary!B11*(1-Drivers!B40 )*D194*(1+Drivers!B21)^(A194/12))</f>
        <v>0</v>
      </c>
      <c r="G194" s="14">
        <f>IF(AND(A194&gt;0,A194&lt;=2),Drivers!B16/2,0)</f>
        <v>0</v>
      </c>
      <c r="H194" s="14">
        <f>IF(A194=(Drivers!B19+Drivers!B20),Drivers!B17*(1+Drivers!B21)^(A194/12),0)</f>
        <v>0</v>
      </c>
      <c r="I194" s="14">
        <f>IF(AND(A194&gt;0,A194&lt;=(Drivers!B19+Drivers!B20)),Drivers!B18*(1+Drivers!B23)^(A194/12),0)</f>
        <v>0</v>
      </c>
      <c r="J194" s="14">
        <f t="shared" si="1"/>
        <v>0</v>
      </c>
      <c r="K194" s="12">
        <f>IF(A194&gt;(Drivers!B19+Drivers!B20),MIN(1,0.5+0.5*(A194-(Drivers!B19+Drivers!B20))/Drivers!B39),0)</f>
        <v>1</v>
      </c>
      <c r="L194" s="14">
        <f>Drivers!B2*(B194-B193)*Drivers!B24*(1+Drivers!B22)^(A194/12)*Drivers!B25*K194</f>
        <v>1567685.303</v>
      </c>
      <c r="M194" s="14">
        <f>L194*Drivers!B26</f>
        <v>313537.0605</v>
      </c>
      <c r="N194" s="14">
        <f>(L194+M194)*Drivers!B27</f>
        <v>658427.8271</v>
      </c>
      <c r="O194" s="14">
        <f>IF(A194&gt;(Drivers!B19+Drivers!B20),Drivers!B28/12*(1+Drivers!B23)^(A194/12),0)</f>
        <v>624327.0819</v>
      </c>
      <c r="P194" s="14">
        <f>(L194+M194)*Drivers!B29</f>
        <v>75248.89453</v>
      </c>
      <c r="Q194" s="14">
        <f>Drivers!B3*Drivers!B30*(1+Drivers!B22)^(A194/12)*Drivers!B31*(1-Drivers!B32 )*K194</f>
        <v>119402.5544</v>
      </c>
      <c r="R194" s="14">
        <f>IF(A194&gt;(Drivers!B19+Drivers!B20),Drivers!B33/12*(1+Drivers!B23)^(A194/12),0)</f>
        <v>93649.06229</v>
      </c>
      <c r="S194" s="14">
        <f t="shared" si="2"/>
        <v>548972.0518</v>
      </c>
      <c r="T194" s="14">
        <f t="shared" si="6"/>
        <v>6901789.078</v>
      </c>
      <c r="U194" s="14">
        <f>IF(AND(A194&gt;Drivers!B19,A194&lt;=(Drivers!B19+Drivers!B20)),Summary!B31*D194,0)</f>
        <v>0</v>
      </c>
      <c r="V194" s="14">
        <f>IF(A194&lt;=(Drivers!B19+Drivers!B20),(T194+U194/2)*Drivers!B36/12,T194*Drivers!B36/12)</f>
        <v>66142.14533</v>
      </c>
      <c r="W194" s="14">
        <f>IF(A194&gt;(Drivers!B19+Drivers!B20),MIN(T194,MAX(0,Summary!B32/12-V194)),0)</f>
        <v>192259.7091</v>
      </c>
      <c r="X194" s="14">
        <f>IF(A194=(Drivers!B19+1),Summary!B31*Drivers!B38,0)</f>
        <v>0</v>
      </c>
      <c r="Y194" s="14">
        <f t="shared" si="3"/>
        <v>6709529.369</v>
      </c>
      <c r="Z194" s="14">
        <f t="shared" si="4"/>
        <v>290570.1974</v>
      </c>
      <c r="AA194" s="14">
        <f t="shared" si="7"/>
        <v>-122503341.5</v>
      </c>
      <c r="AB194" s="14">
        <f t="shared" si="5"/>
        <v>548972.0518</v>
      </c>
      <c r="AC194" s="14">
        <f>(E194+F194+G194+H194)*Drivers!B45</f>
        <v>0</v>
      </c>
      <c r="AD194" s="14">
        <f>IF(A194&lt;=Summary!B18,AB194+IF(A194=Summary!B18,Summary!B40,0),0)</f>
        <v>0</v>
      </c>
      <c r="AE194" s="14">
        <f>IF(A194&lt;=Summary!B18,Z194+IF(A194=Summary!B18,Summary!B40-Y194,0),0)</f>
        <v>0</v>
      </c>
      <c r="AF194" s="14">
        <f>AD194-IF(A194=0,Drivers!B44,0)</f>
        <v>0</v>
      </c>
      <c r="AG194" s="14">
        <f t="shared" si="8"/>
        <v>-103623280.1</v>
      </c>
    </row>
    <row r="195">
      <c r="A195" s="2">
        <v>193.0</v>
      </c>
      <c r="B195" s="15">
        <f>EDATE(Setup!B2,A195)</f>
        <v>52153</v>
      </c>
      <c r="C195" s="2" t="str">
        <f>IF(A195=0,"T0",IF(A195&lt;=Drivers!B19,"Preconstruction",IF(A195&lt;=(Drivers!B19+Drivers!B20),"Construction","Trading")))</f>
        <v>Trading</v>
      </c>
      <c r="D195" s="12">
        <f t="array" ref="D195">IF(AND(A195&gt;Drivers!B19,A195&lt;=(Drivers!B19+Drivers!B20)),SIN(PI()*(A195-Drivers!B19-0.5)/Drivers!B20)/SUMPRODUCT(SIN(PI()*(SEQUENCE(Drivers!B20,1)-0.5)/Drivers!B20)),0)</f>
        <v>0</v>
      </c>
      <c r="E195" s="14">
        <f>(Summary!B10+Summary!B12)*D195*(1+Drivers!B21)^(A195/12)</f>
        <v>0</v>
      </c>
      <c r="F195" s="14">
        <f>IF(AND(A195&gt;0,A195&lt;=Drivers!B19),Summary!B11*Drivers!B40/Drivers!B19*(1+Drivers!B21)^(A195/12),Summary!B11*(1-Drivers!B40 )*D195*(1+Drivers!B21)^(A195/12))</f>
        <v>0</v>
      </c>
      <c r="G195" s="14">
        <f>IF(AND(A195&gt;0,A195&lt;=2),Drivers!B16/2,0)</f>
        <v>0</v>
      </c>
      <c r="H195" s="14">
        <f>IF(A195=(Drivers!B19+Drivers!B20),Drivers!B17*(1+Drivers!B21)^(A195/12),0)</f>
        <v>0</v>
      </c>
      <c r="I195" s="14">
        <f>IF(AND(A195&gt;0,A195&lt;=(Drivers!B19+Drivers!B20)),Drivers!B18*(1+Drivers!B23)^(A195/12),0)</f>
        <v>0</v>
      </c>
      <c r="J195" s="14">
        <f t="shared" si="1"/>
        <v>0</v>
      </c>
      <c r="K195" s="12">
        <f>IF(A195&gt;(Drivers!B19+Drivers!B20),MIN(1,0.5+0.5*(A195-(Drivers!B19+Drivers!B20))/Drivers!B39),0)</f>
        <v>1</v>
      </c>
      <c r="L195" s="14">
        <f>Drivers!B2*(B195-B194)*Drivers!B24*(1+Drivers!B22)^(A195/12)*Drivers!B25*K195</f>
        <v>1522081.448</v>
      </c>
      <c r="M195" s="14">
        <f>L195*Drivers!B26</f>
        <v>304416.2896</v>
      </c>
      <c r="N195" s="14">
        <f>(L195+M195)*Drivers!B27</f>
        <v>639274.2082</v>
      </c>
      <c r="O195" s="14">
        <f>IF(A195&gt;(Drivers!B19+Drivers!B20),Drivers!B28/12*(1+Drivers!B23)^(A195/12),0)</f>
        <v>626370.9663</v>
      </c>
      <c r="P195" s="14">
        <f>(L195+M195)*Drivers!B29</f>
        <v>73059.90951</v>
      </c>
      <c r="Q195" s="14">
        <f>Drivers!B3*Drivers!B30*(1+Drivers!B22)^(A195/12)*Drivers!B31*(1-Drivers!B32 )*K195</f>
        <v>119793.4473</v>
      </c>
      <c r="R195" s="14">
        <f>IF(A195&gt;(Drivers!B19+Drivers!B20),Drivers!B33/12*(1+Drivers!B23)^(A195/12),0)</f>
        <v>93955.64495</v>
      </c>
      <c r="S195" s="14">
        <f t="shared" si="2"/>
        <v>513630.4561</v>
      </c>
      <c r="T195" s="14">
        <f t="shared" si="6"/>
        <v>6709529.369</v>
      </c>
      <c r="U195" s="14">
        <f>IF(AND(A195&gt;Drivers!B19,A195&lt;=(Drivers!B19+Drivers!B20)),Summary!B31*D195,0)</f>
        <v>0</v>
      </c>
      <c r="V195" s="14">
        <f>IF(A195&lt;=(Drivers!B19+Drivers!B20),(T195+U195/2)*Drivers!B36/12,T195*Drivers!B36/12)</f>
        <v>64299.65645</v>
      </c>
      <c r="W195" s="14">
        <f>IF(A195&gt;(Drivers!B19+Drivers!B20),MIN(T195,MAX(0,Summary!B32/12-V195)),0)</f>
        <v>194102.198</v>
      </c>
      <c r="X195" s="14">
        <f>IF(A195=(Drivers!B19+1),Summary!B31*Drivers!B38,0)</f>
        <v>0</v>
      </c>
      <c r="Y195" s="14">
        <f t="shared" si="3"/>
        <v>6515427.171</v>
      </c>
      <c r="Z195" s="14">
        <f t="shared" si="4"/>
        <v>255228.6017</v>
      </c>
      <c r="AA195" s="14">
        <f t="shared" si="7"/>
        <v>-122248112.9</v>
      </c>
      <c r="AB195" s="14">
        <f t="shared" si="5"/>
        <v>513630.4561</v>
      </c>
      <c r="AC195" s="14">
        <f>(E195+F195+G195+H195)*Drivers!B45</f>
        <v>0</v>
      </c>
      <c r="AD195" s="14">
        <f>IF(A195&lt;=Summary!B18,AB195+IF(A195=Summary!B18,Summary!B40,0),0)</f>
        <v>0</v>
      </c>
      <c r="AE195" s="14">
        <f>IF(A195&lt;=Summary!B18,Z195+IF(A195=Summary!B18,Summary!B40-Y195,0),0)</f>
        <v>0</v>
      </c>
      <c r="AF195" s="14">
        <f>AD195-IF(A195=0,Drivers!B44,0)</f>
        <v>0</v>
      </c>
      <c r="AG195" s="14">
        <f t="shared" si="8"/>
        <v>-103109649.6</v>
      </c>
    </row>
    <row r="196">
      <c r="A196" s="2">
        <v>194.0</v>
      </c>
      <c r="B196" s="15">
        <f>EDATE(Setup!B2,A196)</f>
        <v>52184</v>
      </c>
      <c r="C196" s="2" t="str">
        <f>IF(A196=0,"T0",IF(A196&lt;=Drivers!B19,"Preconstruction",IF(A196&lt;=(Drivers!B19+Drivers!B20),"Construction","Trading")))</f>
        <v>Trading</v>
      </c>
      <c r="D196" s="12">
        <f t="array" ref="D196">IF(AND(A196&gt;Drivers!B19,A196&lt;=(Drivers!B19+Drivers!B20)),SIN(PI()*(A196-Drivers!B19-0.5)/Drivers!B20)/SUMPRODUCT(SIN(PI()*(SEQUENCE(Drivers!B20,1)-0.5)/Drivers!B20)),0)</f>
        <v>0</v>
      </c>
      <c r="E196" s="14">
        <f>(Summary!B10+Summary!B12)*D196*(1+Drivers!B21)^(A196/12)</f>
        <v>0</v>
      </c>
      <c r="F196" s="14">
        <f>IF(AND(A196&gt;0,A196&lt;=Drivers!B19),Summary!B11*Drivers!B40/Drivers!B19*(1+Drivers!B21)^(A196/12),Summary!B11*(1-Drivers!B40 )*D196*(1+Drivers!B21)^(A196/12))</f>
        <v>0</v>
      </c>
      <c r="G196" s="14">
        <f>IF(AND(A196&gt;0,A196&lt;=2),Drivers!B16/2,0)</f>
        <v>0</v>
      </c>
      <c r="H196" s="14">
        <f>IF(A196=(Drivers!B19+Drivers!B20),Drivers!B17*(1+Drivers!B21)^(A196/12),0)</f>
        <v>0</v>
      </c>
      <c r="I196" s="14">
        <f>IF(AND(A196&gt;0,A196&lt;=(Drivers!B19+Drivers!B20)),Drivers!B18*(1+Drivers!B23)^(A196/12),0)</f>
        <v>0</v>
      </c>
      <c r="J196" s="14">
        <f t="shared" si="1"/>
        <v>0</v>
      </c>
      <c r="K196" s="12">
        <f>IF(A196&gt;(Drivers!B19+Drivers!B20),MIN(1,0.5+0.5*(A196-(Drivers!B19+Drivers!B20))/Drivers!B39),0)</f>
        <v>1</v>
      </c>
      <c r="L196" s="14">
        <f>Drivers!B2*(B196-B195)*Drivers!B24*(1+Drivers!B22)^(A196/12)*Drivers!B25*K196</f>
        <v>1577966.492</v>
      </c>
      <c r="M196" s="14">
        <f>L196*Drivers!B26</f>
        <v>315593.2983</v>
      </c>
      <c r="N196" s="14">
        <f>(L196+M196)*Drivers!B27</f>
        <v>662745.9265</v>
      </c>
      <c r="O196" s="14">
        <f>IF(A196&gt;(Drivers!B19+Drivers!B20),Drivers!B28/12*(1+Drivers!B23)^(A196/12),0)</f>
        <v>628421.5419</v>
      </c>
      <c r="P196" s="14">
        <f>(L196+M196)*Drivers!B29</f>
        <v>75742.3916</v>
      </c>
      <c r="Q196" s="14">
        <f>Drivers!B3*Drivers!B30*(1+Drivers!B22)^(A196/12)*Drivers!B31*(1-Drivers!B32 )*K196</f>
        <v>120185.6199</v>
      </c>
      <c r="R196" s="14">
        <f>IF(A196&gt;(Drivers!B19+Drivers!B20),Drivers!B33/12*(1+Drivers!B23)^(A196/12),0)</f>
        <v>94263.23128</v>
      </c>
      <c r="S196" s="14">
        <f t="shared" si="2"/>
        <v>552572.3186</v>
      </c>
      <c r="T196" s="14">
        <f t="shared" si="6"/>
        <v>6515427.171</v>
      </c>
      <c r="U196" s="14">
        <f>IF(AND(A196&gt;Drivers!B19,A196&lt;=(Drivers!B19+Drivers!B20)),Summary!B31*D196,0)</f>
        <v>0</v>
      </c>
      <c r="V196" s="14">
        <f>IF(A196&lt;=(Drivers!B19+Drivers!B20),(T196+U196/2)*Drivers!B36/12,T196*Drivers!B36/12)</f>
        <v>62439.51039</v>
      </c>
      <c r="W196" s="14">
        <f>IF(A196&gt;(Drivers!B19+Drivers!B20),MIN(T196,MAX(0,Summary!B32/12-V196)),0)</f>
        <v>195962.344</v>
      </c>
      <c r="X196" s="14">
        <f>IF(A196=(Drivers!B19+1),Summary!B31*Drivers!B38,0)</f>
        <v>0</v>
      </c>
      <c r="Y196" s="14">
        <f t="shared" si="3"/>
        <v>6319464.827</v>
      </c>
      <c r="Z196" s="14">
        <f t="shared" si="4"/>
        <v>294170.4642</v>
      </c>
      <c r="AA196" s="14">
        <f t="shared" si="7"/>
        <v>-121953942.4</v>
      </c>
      <c r="AB196" s="14">
        <f t="shared" si="5"/>
        <v>552572.3186</v>
      </c>
      <c r="AC196" s="14">
        <f>(E196+F196+G196+H196)*Drivers!B45</f>
        <v>0</v>
      </c>
      <c r="AD196" s="14">
        <f>IF(A196&lt;=Summary!B18,AB196+IF(A196=Summary!B18,Summary!B40,0),0)</f>
        <v>0</v>
      </c>
      <c r="AE196" s="14">
        <f>IF(A196&lt;=Summary!B18,Z196+IF(A196=Summary!B18,Summary!B40-Y196,0),0)</f>
        <v>0</v>
      </c>
      <c r="AF196" s="14">
        <f>AD196-IF(A196=0,Drivers!B44,0)</f>
        <v>0</v>
      </c>
      <c r="AG196" s="14">
        <f t="shared" si="8"/>
        <v>-102557077.3</v>
      </c>
    </row>
    <row r="197">
      <c r="A197" s="2">
        <v>195.0</v>
      </c>
      <c r="B197" s="15">
        <f>EDATE(Setup!B2,A197)</f>
        <v>52214</v>
      </c>
      <c r="C197" s="2" t="str">
        <f>IF(A197=0,"T0",IF(A197&lt;=Drivers!B19,"Preconstruction",IF(A197&lt;=(Drivers!B19+Drivers!B20),"Construction","Trading")))</f>
        <v>Trading</v>
      </c>
      <c r="D197" s="12">
        <f t="array" ref="D197">IF(AND(A197&gt;Drivers!B19,A197&lt;=(Drivers!B19+Drivers!B20)),SIN(PI()*(A197-Drivers!B19-0.5)/Drivers!B20)/SUMPRODUCT(SIN(PI()*(SEQUENCE(Drivers!B20,1)-0.5)/Drivers!B20)),0)</f>
        <v>0</v>
      </c>
      <c r="E197" s="14">
        <f>(Summary!B10+Summary!B12)*D197*(1+Drivers!B21)^(A197/12)</f>
        <v>0</v>
      </c>
      <c r="F197" s="14">
        <f>IF(AND(A197&gt;0,A197&lt;=Drivers!B19),Summary!B11*Drivers!B40/Drivers!B19*(1+Drivers!B21)^(A197/12),Summary!B11*(1-Drivers!B40 )*D197*(1+Drivers!B21)^(A197/12))</f>
        <v>0</v>
      </c>
      <c r="G197" s="14">
        <f>IF(AND(A197&gt;0,A197&lt;=2),Drivers!B16/2,0)</f>
        <v>0</v>
      </c>
      <c r="H197" s="14">
        <f>IF(A197=(Drivers!B19+Drivers!B20),Drivers!B17*(1+Drivers!B21)^(A197/12),0)</f>
        <v>0</v>
      </c>
      <c r="I197" s="14">
        <f>IF(AND(A197&gt;0,A197&lt;=(Drivers!B19+Drivers!B20)),Drivers!B18*(1+Drivers!B23)^(A197/12),0)</f>
        <v>0</v>
      </c>
      <c r="J197" s="14">
        <f t="shared" si="1"/>
        <v>0</v>
      </c>
      <c r="K197" s="12">
        <f>IF(A197&gt;(Drivers!B19+Drivers!B20),MIN(1,0.5+0.5*(A197-(Drivers!B19+Drivers!B20))/Drivers!B39),0)</f>
        <v>1</v>
      </c>
      <c r="L197" s="14">
        <f>Drivers!B2*(B197-B196)*Drivers!B24*(1+Drivers!B22)^(A197/12)*Drivers!B25*K197</f>
        <v>1532063.558</v>
      </c>
      <c r="M197" s="14">
        <f>L197*Drivers!B26</f>
        <v>306412.7116</v>
      </c>
      <c r="N197" s="14">
        <f>(L197+M197)*Drivers!B27</f>
        <v>643466.6944</v>
      </c>
      <c r="O197" s="14">
        <f>IF(A197&gt;(Drivers!B19+Drivers!B20),Drivers!B28/12*(1+Drivers!B23)^(A197/12),0)</f>
        <v>630478.8305</v>
      </c>
      <c r="P197" s="14">
        <f>(L197+M197)*Drivers!B29</f>
        <v>73539.05079</v>
      </c>
      <c r="Q197" s="14">
        <f>Drivers!B3*Drivers!B30*(1+Drivers!B22)^(A197/12)*Drivers!B31*(1-Drivers!B32 )*K197</f>
        <v>120579.0763</v>
      </c>
      <c r="R197" s="14">
        <f>IF(A197&gt;(Drivers!B19+Drivers!B20),Drivers!B33/12*(1+Drivers!B23)^(A197/12),0)</f>
        <v>94571.82457</v>
      </c>
      <c r="S197" s="14">
        <f t="shared" si="2"/>
        <v>516998.9458</v>
      </c>
      <c r="T197" s="14">
        <f t="shared" si="6"/>
        <v>6319464.827</v>
      </c>
      <c r="U197" s="14">
        <f>IF(AND(A197&gt;Drivers!B19,A197&lt;=(Drivers!B19+Drivers!B20)),Summary!B31*D197,0)</f>
        <v>0</v>
      </c>
      <c r="V197" s="14">
        <f>IF(A197&lt;=(Drivers!B19+Drivers!B20),(T197+U197/2)*Drivers!B36/12,T197*Drivers!B36/12)</f>
        <v>60561.53792</v>
      </c>
      <c r="W197" s="14">
        <f>IF(A197&gt;(Drivers!B19+Drivers!B20),MIN(T197,MAX(0,Summary!B32/12-V197)),0)</f>
        <v>197840.3165</v>
      </c>
      <c r="X197" s="14">
        <f>IF(A197=(Drivers!B19+1),Summary!B31*Drivers!B38,0)</f>
        <v>0</v>
      </c>
      <c r="Y197" s="14">
        <f t="shared" si="3"/>
        <v>6121624.51</v>
      </c>
      <c r="Z197" s="14">
        <f t="shared" si="4"/>
        <v>258597.0914</v>
      </c>
      <c r="AA197" s="14">
        <f t="shared" si="7"/>
        <v>-121695345.3</v>
      </c>
      <c r="AB197" s="14">
        <f t="shared" si="5"/>
        <v>516998.9458</v>
      </c>
      <c r="AC197" s="14">
        <f>(E197+F197+G197+H197)*Drivers!B45</f>
        <v>0</v>
      </c>
      <c r="AD197" s="14">
        <f>IF(A197&lt;=Summary!B18,AB197+IF(A197=Summary!B18,Summary!B40,0),0)</f>
        <v>0</v>
      </c>
      <c r="AE197" s="14">
        <f>IF(A197&lt;=Summary!B18,Z197+IF(A197=Summary!B18,Summary!B40-Y197,0),0)</f>
        <v>0</v>
      </c>
      <c r="AF197" s="14">
        <f>AD197-IF(A197=0,Drivers!B44,0)</f>
        <v>0</v>
      </c>
      <c r="AG197" s="14">
        <f t="shared" si="8"/>
        <v>-102040078.4</v>
      </c>
    </row>
    <row r="198">
      <c r="A198" s="2">
        <v>196.0</v>
      </c>
      <c r="B198" s="15">
        <f>EDATE(Setup!B2,A198)</f>
        <v>52245</v>
      </c>
      <c r="C198" s="2" t="str">
        <f>IF(A198=0,"T0",IF(A198&lt;=Drivers!B19,"Preconstruction",IF(A198&lt;=(Drivers!B19+Drivers!B20),"Construction","Trading")))</f>
        <v>Trading</v>
      </c>
      <c r="D198" s="12">
        <f t="array" ref="D198">IF(AND(A198&gt;Drivers!B19,A198&lt;=(Drivers!B19+Drivers!B20)),SIN(PI()*(A198-Drivers!B19-0.5)/Drivers!B20)/SUMPRODUCT(SIN(PI()*(SEQUENCE(Drivers!B20,1)-0.5)/Drivers!B20)),0)</f>
        <v>0</v>
      </c>
      <c r="E198" s="14">
        <f>(Summary!B10+Summary!B12)*D198*(1+Drivers!B21)^(A198/12)</f>
        <v>0</v>
      </c>
      <c r="F198" s="14">
        <f>IF(AND(A198&gt;0,A198&lt;=Drivers!B19),Summary!B11*Drivers!B40/Drivers!B19*(1+Drivers!B21)^(A198/12),Summary!B11*(1-Drivers!B40 )*D198*(1+Drivers!B21)^(A198/12))</f>
        <v>0</v>
      </c>
      <c r="G198" s="14">
        <f>IF(AND(A198&gt;0,A198&lt;=2),Drivers!B16/2,0)</f>
        <v>0</v>
      </c>
      <c r="H198" s="14">
        <f>IF(A198=(Drivers!B19+Drivers!B20),Drivers!B17*(1+Drivers!B21)^(A198/12),0)</f>
        <v>0</v>
      </c>
      <c r="I198" s="14">
        <f>IF(AND(A198&gt;0,A198&lt;=(Drivers!B19+Drivers!B20)),Drivers!B18*(1+Drivers!B23)^(A198/12),0)</f>
        <v>0</v>
      </c>
      <c r="J198" s="14">
        <f t="shared" si="1"/>
        <v>0</v>
      </c>
      <c r="K198" s="12">
        <f>IF(A198&gt;(Drivers!B19+Drivers!B20),MIN(1,0.5+0.5*(A198-(Drivers!B19+Drivers!B20))/Drivers!B39),0)</f>
        <v>1</v>
      </c>
      <c r="L198" s="14">
        <f>Drivers!B2*(B198-B197)*Drivers!B24*(1+Drivers!B22)^(A198/12)*Drivers!B25*K198</f>
        <v>1588315.107</v>
      </c>
      <c r="M198" s="14">
        <f>L198*Drivers!B26</f>
        <v>317663.0213</v>
      </c>
      <c r="N198" s="14">
        <f>(L198+M198)*Drivers!B27</f>
        <v>667092.3448</v>
      </c>
      <c r="O198" s="14">
        <f>IF(A198&gt;(Drivers!B19+Drivers!B20),Drivers!B28/12*(1+Drivers!B23)^(A198/12),0)</f>
        <v>632542.8541</v>
      </c>
      <c r="P198" s="14">
        <f>(L198+M198)*Drivers!B29</f>
        <v>76239.12512</v>
      </c>
      <c r="Q198" s="14">
        <f>Drivers!B3*Drivers!B30*(1+Drivers!B22)^(A198/12)*Drivers!B31*(1-Drivers!B32 )*K198</f>
        <v>120973.8208</v>
      </c>
      <c r="R198" s="14">
        <f>IF(A198&gt;(Drivers!B19+Drivers!B20),Drivers!B33/12*(1+Drivers!B23)^(A198/12),0)</f>
        <v>94881.42811</v>
      </c>
      <c r="S198" s="14">
        <f t="shared" si="2"/>
        <v>556196.1967</v>
      </c>
      <c r="T198" s="14">
        <f t="shared" si="6"/>
        <v>6121624.51</v>
      </c>
      <c r="U198" s="14">
        <f>IF(AND(A198&gt;Drivers!B19,A198&lt;=(Drivers!B19+Drivers!B20)),Summary!B31*D198,0)</f>
        <v>0</v>
      </c>
      <c r="V198" s="14">
        <f>IF(A198&lt;=(Drivers!B19+Drivers!B20),(T198+U198/2)*Drivers!B36/12,T198*Drivers!B36/12)</f>
        <v>58665.56822</v>
      </c>
      <c r="W198" s="14">
        <f>IF(A198&gt;(Drivers!B19+Drivers!B20),MIN(T198,MAX(0,Summary!B32/12-V198)),0)</f>
        <v>199736.2862</v>
      </c>
      <c r="X198" s="14">
        <f>IF(A198=(Drivers!B19+1),Summary!B31*Drivers!B38,0)</f>
        <v>0</v>
      </c>
      <c r="Y198" s="14">
        <f t="shared" si="3"/>
        <v>5921888.224</v>
      </c>
      <c r="Z198" s="14">
        <f t="shared" si="4"/>
        <v>297794.3423</v>
      </c>
      <c r="AA198" s="14">
        <f t="shared" si="7"/>
        <v>-121397551</v>
      </c>
      <c r="AB198" s="14">
        <f t="shared" si="5"/>
        <v>556196.1967</v>
      </c>
      <c r="AC198" s="14">
        <f>(E198+F198+G198+H198)*Drivers!B45</f>
        <v>0</v>
      </c>
      <c r="AD198" s="14">
        <f>IF(A198&lt;=Summary!B18,AB198+IF(A198=Summary!B18,Summary!B40,0),0)</f>
        <v>0</v>
      </c>
      <c r="AE198" s="14">
        <f>IF(A198&lt;=Summary!B18,Z198+IF(A198=Summary!B18,Summary!B40-Y198,0),0)</f>
        <v>0</v>
      </c>
      <c r="AF198" s="14">
        <f>AD198-IF(A198=0,Drivers!B44,0)</f>
        <v>0</v>
      </c>
      <c r="AG198" s="14">
        <f t="shared" si="8"/>
        <v>-101483882.2</v>
      </c>
    </row>
    <row r="199">
      <c r="A199" s="2">
        <v>197.0</v>
      </c>
      <c r="B199" s="15">
        <f>EDATE(Setup!B2,A199)</f>
        <v>52276</v>
      </c>
      <c r="C199" s="2" t="str">
        <f>IF(A199=0,"T0",IF(A199&lt;=Drivers!B19,"Preconstruction",IF(A199&lt;=(Drivers!B19+Drivers!B20),"Construction","Trading")))</f>
        <v>Trading</v>
      </c>
      <c r="D199" s="12">
        <f t="array" ref="D199">IF(AND(A199&gt;Drivers!B19,A199&lt;=(Drivers!B19+Drivers!B20)),SIN(PI()*(A199-Drivers!B19-0.5)/Drivers!B20)/SUMPRODUCT(SIN(PI()*(SEQUENCE(Drivers!B20,1)-0.5)/Drivers!B20)),0)</f>
        <v>0</v>
      </c>
      <c r="E199" s="14">
        <f>(Summary!B10+Summary!B12)*D199*(1+Drivers!B21)^(A199/12)</f>
        <v>0</v>
      </c>
      <c r="F199" s="14">
        <f>IF(AND(A199&gt;0,A199&lt;=Drivers!B19),Summary!B11*Drivers!B40/Drivers!B19*(1+Drivers!B21)^(A199/12),Summary!B11*(1-Drivers!B40 )*D199*(1+Drivers!B21)^(A199/12))</f>
        <v>0</v>
      </c>
      <c r="G199" s="14">
        <f>IF(AND(A199&gt;0,A199&lt;=2),Drivers!B16/2,0)</f>
        <v>0</v>
      </c>
      <c r="H199" s="14">
        <f>IF(A199=(Drivers!B19+Drivers!B20),Drivers!B17*(1+Drivers!B21)^(A199/12),0)</f>
        <v>0</v>
      </c>
      <c r="I199" s="14">
        <f>IF(AND(A199&gt;0,A199&lt;=(Drivers!B19+Drivers!B20)),Drivers!B18*(1+Drivers!B23)^(A199/12),0)</f>
        <v>0</v>
      </c>
      <c r="J199" s="14">
        <f t="shared" si="1"/>
        <v>0</v>
      </c>
      <c r="K199" s="12">
        <f>IF(A199&gt;(Drivers!B19+Drivers!B20),MIN(1,0.5+0.5*(A199-(Drivers!B19+Drivers!B20))/Drivers!B39),0)</f>
        <v>1</v>
      </c>
      <c r="L199" s="14">
        <f>Drivers!B2*(B199-B198)*Drivers!B24*(1+Drivers!B22)^(A199/12)*Drivers!B25*K199</f>
        <v>1593514.837</v>
      </c>
      <c r="M199" s="14">
        <f>L199*Drivers!B26</f>
        <v>318702.9674</v>
      </c>
      <c r="N199" s="14">
        <f>(L199+M199)*Drivers!B27</f>
        <v>669276.2315</v>
      </c>
      <c r="O199" s="14">
        <f>IF(A199&gt;(Drivers!B19+Drivers!B20),Drivers!B28/12*(1+Drivers!B23)^(A199/12),0)</f>
        <v>634613.6348</v>
      </c>
      <c r="P199" s="14">
        <f>(L199+M199)*Drivers!B29</f>
        <v>76488.71218</v>
      </c>
      <c r="Q199" s="14">
        <f>Drivers!B3*Drivers!B30*(1+Drivers!B22)^(A199/12)*Drivers!B31*(1-Drivers!B32 )*K199</f>
        <v>121369.8577</v>
      </c>
      <c r="R199" s="14">
        <f>IF(A199&gt;(Drivers!B19+Drivers!B20),Drivers!B33/12*(1+Drivers!B23)^(A199/12),0)</f>
        <v>95192.04522</v>
      </c>
      <c r="S199" s="14">
        <f t="shared" si="2"/>
        <v>558017.0383</v>
      </c>
      <c r="T199" s="14">
        <f t="shared" si="6"/>
        <v>5921888.224</v>
      </c>
      <c r="U199" s="14">
        <f>IF(AND(A199&gt;Drivers!B19,A199&lt;=(Drivers!B19+Drivers!B20)),Summary!B31*D199,0)</f>
        <v>0</v>
      </c>
      <c r="V199" s="14">
        <f>IF(A199&lt;=(Drivers!B19+Drivers!B20),(T199+U199/2)*Drivers!B36/12,T199*Drivers!B36/12)</f>
        <v>56751.42881</v>
      </c>
      <c r="W199" s="14">
        <f>IF(A199&gt;(Drivers!B19+Drivers!B20),MIN(T199,MAX(0,Summary!B32/12-V199)),0)</f>
        <v>201650.4256</v>
      </c>
      <c r="X199" s="14">
        <f>IF(A199=(Drivers!B19+1),Summary!B31*Drivers!B38,0)</f>
        <v>0</v>
      </c>
      <c r="Y199" s="14">
        <f t="shared" si="3"/>
        <v>5720237.798</v>
      </c>
      <c r="Z199" s="14">
        <f t="shared" si="4"/>
        <v>299615.1839</v>
      </c>
      <c r="AA199" s="14">
        <f t="shared" si="7"/>
        <v>-121097935.8</v>
      </c>
      <c r="AB199" s="14">
        <f t="shared" si="5"/>
        <v>558017.0383</v>
      </c>
      <c r="AC199" s="14">
        <f>(E199+F199+G199+H199)*Drivers!B45</f>
        <v>0</v>
      </c>
      <c r="AD199" s="14">
        <f>IF(A199&lt;=Summary!B18,AB199+IF(A199=Summary!B18,Summary!B40,0),0)</f>
        <v>0</v>
      </c>
      <c r="AE199" s="14">
        <f>IF(A199&lt;=Summary!B18,Z199+IF(A199=Summary!B18,Summary!B40-Y199,0),0)</f>
        <v>0</v>
      </c>
      <c r="AF199" s="14">
        <f>AD199-IF(A199=0,Drivers!B44,0)</f>
        <v>0</v>
      </c>
      <c r="AG199" s="14">
        <f t="shared" si="8"/>
        <v>-100925865.1</v>
      </c>
    </row>
    <row r="200">
      <c r="A200" s="2">
        <v>198.0</v>
      </c>
      <c r="B200" s="15">
        <f>EDATE(Setup!B2,A200)</f>
        <v>52304</v>
      </c>
      <c r="C200" s="2" t="str">
        <f>IF(A200=0,"T0",IF(A200&lt;=Drivers!B19,"Preconstruction",IF(A200&lt;=(Drivers!B19+Drivers!B20),"Construction","Trading")))</f>
        <v>Trading</v>
      </c>
      <c r="D200" s="12">
        <f t="array" ref="D200">IF(AND(A200&gt;Drivers!B19,A200&lt;=(Drivers!B19+Drivers!B20)),SIN(PI()*(A200-Drivers!B19-0.5)/Drivers!B20)/SUMPRODUCT(SIN(PI()*(SEQUENCE(Drivers!B20,1)-0.5)/Drivers!B20)),0)</f>
        <v>0</v>
      </c>
      <c r="E200" s="14">
        <f>(Summary!B10+Summary!B12)*D200*(1+Drivers!B21)^(A200/12)</f>
        <v>0</v>
      </c>
      <c r="F200" s="14">
        <f>IF(AND(A200&gt;0,A200&lt;=Drivers!B19),Summary!B11*Drivers!B40/Drivers!B19*(1+Drivers!B21)^(A200/12),Summary!B11*(1-Drivers!B40 )*D200*(1+Drivers!B21)^(A200/12))</f>
        <v>0</v>
      </c>
      <c r="G200" s="14">
        <f>IF(AND(A200&gt;0,A200&lt;=2),Drivers!B16/2,0)</f>
        <v>0</v>
      </c>
      <c r="H200" s="14">
        <f>IF(A200=(Drivers!B19+Drivers!B20),Drivers!B17*(1+Drivers!B21)^(A200/12),0)</f>
        <v>0</v>
      </c>
      <c r="I200" s="14">
        <f>IF(AND(A200&gt;0,A200&lt;=(Drivers!B19+Drivers!B20)),Drivers!B18*(1+Drivers!B23)^(A200/12),0)</f>
        <v>0</v>
      </c>
      <c r="J200" s="14">
        <f t="shared" si="1"/>
        <v>0</v>
      </c>
      <c r="K200" s="12">
        <f>IF(A200&gt;(Drivers!B19+Drivers!B20),MIN(1,0.5+0.5*(A200-(Drivers!B19+Drivers!B20))/Drivers!B39),0)</f>
        <v>1</v>
      </c>
      <c r="L200" s="14">
        <f>Drivers!B2*(B200-B199)*Drivers!B24*(1+Drivers!B22)^(A200/12)*Drivers!B25*K200</f>
        <v>1444015.63</v>
      </c>
      <c r="M200" s="14">
        <f>L200*Drivers!B26</f>
        <v>288803.1259</v>
      </c>
      <c r="N200" s="14">
        <f>(L200+M200)*Drivers!B27</f>
        <v>606486.5644</v>
      </c>
      <c r="O200" s="14">
        <f>IF(A200&gt;(Drivers!B19+Drivers!B20),Drivers!B28/12*(1+Drivers!B23)^(A200/12),0)</f>
        <v>636691.1947</v>
      </c>
      <c r="P200" s="14">
        <f>(L200+M200)*Drivers!B29</f>
        <v>69312.75022</v>
      </c>
      <c r="Q200" s="14">
        <f>Drivers!B3*Drivers!B30*(1+Drivers!B22)^(A200/12)*Drivers!B31*(1-Drivers!B32 )*K200</f>
        <v>121767.191</v>
      </c>
      <c r="R200" s="14">
        <f>IF(A200&gt;(Drivers!B19+Drivers!B20),Drivers!B33/12*(1+Drivers!B23)^(A200/12),0)</f>
        <v>95503.67921</v>
      </c>
      <c r="S200" s="14">
        <f t="shared" si="2"/>
        <v>446591.7579</v>
      </c>
      <c r="T200" s="14">
        <f t="shared" si="6"/>
        <v>5720237.798</v>
      </c>
      <c r="U200" s="14">
        <f>IF(AND(A200&gt;Drivers!B19,A200&lt;=(Drivers!B19+Drivers!B20)),Summary!B31*D200,0)</f>
        <v>0</v>
      </c>
      <c r="V200" s="14">
        <f>IF(A200&lt;=(Drivers!B19+Drivers!B20),(T200+U200/2)*Drivers!B36/12,T200*Drivers!B36/12)</f>
        <v>54818.94557</v>
      </c>
      <c r="W200" s="14">
        <f>IF(A200&gt;(Drivers!B19+Drivers!B20),MIN(T200,MAX(0,Summary!B32/12-V200)),0)</f>
        <v>203582.9088</v>
      </c>
      <c r="X200" s="14">
        <f>IF(A200=(Drivers!B19+1),Summary!B31*Drivers!B38,0)</f>
        <v>0</v>
      </c>
      <c r="Y200" s="14">
        <f t="shared" si="3"/>
        <v>5516654.889</v>
      </c>
      <c r="Z200" s="14">
        <f t="shared" si="4"/>
        <v>188189.9035</v>
      </c>
      <c r="AA200" s="14">
        <f t="shared" si="7"/>
        <v>-120909745.9</v>
      </c>
      <c r="AB200" s="14">
        <f t="shared" si="5"/>
        <v>446591.7579</v>
      </c>
      <c r="AC200" s="14">
        <f>(E200+F200+G200+H200)*Drivers!B45</f>
        <v>0</v>
      </c>
      <c r="AD200" s="14">
        <f>IF(A200&lt;=Summary!B18,AB200+IF(A200=Summary!B18,Summary!B40,0),0)</f>
        <v>0</v>
      </c>
      <c r="AE200" s="14">
        <f>IF(A200&lt;=Summary!B18,Z200+IF(A200=Summary!B18,Summary!B40-Y200,0),0)</f>
        <v>0</v>
      </c>
      <c r="AF200" s="14">
        <f>AD200-IF(A200=0,Drivers!B44,0)</f>
        <v>0</v>
      </c>
      <c r="AG200" s="14">
        <f t="shared" si="8"/>
        <v>-100479273.4</v>
      </c>
    </row>
    <row r="201">
      <c r="A201" s="2">
        <v>199.0</v>
      </c>
      <c r="B201" s="15">
        <f>EDATE(Setup!B2,A201)</f>
        <v>52335</v>
      </c>
      <c r="C201" s="2" t="str">
        <f>IF(A201=0,"T0",IF(A201&lt;=Drivers!B19,"Preconstruction",IF(A201&lt;=(Drivers!B19+Drivers!B20),"Construction","Trading")))</f>
        <v>Trading</v>
      </c>
      <c r="D201" s="12">
        <f t="array" ref="D201">IF(AND(A201&gt;Drivers!B19,A201&lt;=(Drivers!B19+Drivers!B20)),SIN(PI()*(A201-Drivers!B19-0.5)/Drivers!B20)/SUMPRODUCT(SIN(PI()*(SEQUENCE(Drivers!B20,1)-0.5)/Drivers!B20)),0)</f>
        <v>0</v>
      </c>
      <c r="E201" s="14">
        <f>(Summary!B10+Summary!B12)*D201*(1+Drivers!B21)^(A201/12)</f>
        <v>0</v>
      </c>
      <c r="F201" s="14">
        <f>IF(AND(A201&gt;0,A201&lt;=Drivers!B19),Summary!B11*Drivers!B40/Drivers!B19*(1+Drivers!B21)^(A201/12),Summary!B11*(1-Drivers!B40 )*D201*(1+Drivers!B21)^(A201/12))</f>
        <v>0</v>
      </c>
      <c r="G201" s="14">
        <f>IF(AND(A201&gt;0,A201&lt;=2),Drivers!B16/2,0)</f>
        <v>0</v>
      </c>
      <c r="H201" s="14">
        <f>IF(A201=(Drivers!B19+Drivers!B20),Drivers!B17*(1+Drivers!B21)^(A201/12),0)</f>
        <v>0</v>
      </c>
      <c r="I201" s="14">
        <f>IF(AND(A201&gt;0,A201&lt;=(Drivers!B19+Drivers!B20)),Drivers!B18*(1+Drivers!B23)^(A201/12),0)</f>
        <v>0</v>
      </c>
      <c r="J201" s="14">
        <f t="shared" si="1"/>
        <v>0</v>
      </c>
      <c r="K201" s="12">
        <f>IF(A201&gt;(Drivers!B19+Drivers!B20),MIN(1,0.5+0.5*(A201-(Drivers!B19+Drivers!B20))/Drivers!B39),0)</f>
        <v>1</v>
      </c>
      <c r="L201" s="14">
        <f>Drivers!B2*(B201-B200)*Drivers!B24*(1+Drivers!B22)^(A201/12)*Drivers!B25*K201</f>
        <v>1603965.421</v>
      </c>
      <c r="M201" s="14">
        <f>L201*Drivers!B26</f>
        <v>320793.0842</v>
      </c>
      <c r="N201" s="14">
        <f>(L201+M201)*Drivers!B27</f>
        <v>673665.4769</v>
      </c>
      <c r="O201" s="14">
        <f>IF(A201&gt;(Drivers!B19+Drivers!B20),Drivers!B28/12*(1+Drivers!B23)^(A201/12),0)</f>
        <v>638775.556</v>
      </c>
      <c r="P201" s="14">
        <f>(L201+M201)*Drivers!B29</f>
        <v>76990.34021</v>
      </c>
      <c r="Q201" s="14">
        <f>Drivers!B3*Drivers!B30*(1+Drivers!B22)^(A201/12)*Drivers!B31*(1-Drivers!B32 )*K201</f>
        <v>122165.8251</v>
      </c>
      <c r="R201" s="14">
        <f>IF(A201&gt;(Drivers!B19+Drivers!B20),Drivers!B33/12*(1+Drivers!B23)^(A201/12),0)</f>
        <v>95816.3334</v>
      </c>
      <c r="S201" s="14">
        <f t="shared" si="2"/>
        <v>561676.6239</v>
      </c>
      <c r="T201" s="14">
        <f t="shared" si="6"/>
        <v>5516654.889</v>
      </c>
      <c r="U201" s="14">
        <f>IF(AND(A201&gt;Drivers!B19,A201&lt;=(Drivers!B19+Drivers!B20)),Summary!B31*D201,0)</f>
        <v>0</v>
      </c>
      <c r="V201" s="14">
        <f>IF(A201&lt;=(Drivers!B19+Drivers!B20),(T201+U201/2)*Drivers!B36/12,T201*Drivers!B36/12)</f>
        <v>52867.94269</v>
      </c>
      <c r="W201" s="14">
        <f>IF(A201&gt;(Drivers!B19+Drivers!B20),MIN(T201,MAX(0,Summary!B32/12-V201)),0)</f>
        <v>205533.9117</v>
      </c>
      <c r="X201" s="14">
        <f>IF(A201=(Drivers!B19+1),Summary!B31*Drivers!B38,0)</f>
        <v>0</v>
      </c>
      <c r="Y201" s="14">
        <f t="shared" si="3"/>
        <v>5311120.978</v>
      </c>
      <c r="Z201" s="14">
        <f t="shared" si="4"/>
        <v>303274.7695</v>
      </c>
      <c r="AA201" s="14">
        <f t="shared" si="7"/>
        <v>-120606471.1</v>
      </c>
      <c r="AB201" s="14">
        <f t="shared" si="5"/>
        <v>561676.6239</v>
      </c>
      <c r="AC201" s="14">
        <f>(E201+F201+G201+H201)*Drivers!B45</f>
        <v>0</v>
      </c>
      <c r="AD201" s="14">
        <f>IF(A201&lt;=Summary!B18,AB201+IF(A201=Summary!B18,Summary!B40,0),0)</f>
        <v>0</v>
      </c>
      <c r="AE201" s="14">
        <f>IF(A201&lt;=Summary!B18,Z201+IF(A201=Summary!B18,Summary!B40-Y201,0),0)</f>
        <v>0</v>
      </c>
      <c r="AF201" s="14">
        <f>AD201-IF(A201=0,Drivers!B44,0)</f>
        <v>0</v>
      </c>
      <c r="AG201" s="14">
        <f t="shared" si="8"/>
        <v>-99917596.76</v>
      </c>
    </row>
    <row r="202">
      <c r="A202" s="2">
        <v>200.0</v>
      </c>
      <c r="B202" s="15">
        <f>EDATE(Setup!B2,A202)</f>
        <v>52365</v>
      </c>
      <c r="C202" s="2" t="str">
        <f>IF(A202=0,"T0",IF(A202&lt;=Drivers!B19,"Preconstruction",IF(A202&lt;=(Drivers!B19+Drivers!B20),"Construction","Trading")))</f>
        <v>Trading</v>
      </c>
      <c r="D202" s="12">
        <f t="array" ref="D202">IF(AND(A202&gt;Drivers!B19,A202&lt;=(Drivers!B19+Drivers!B20)),SIN(PI()*(A202-Drivers!B19-0.5)/Drivers!B20)/SUMPRODUCT(SIN(PI()*(SEQUENCE(Drivers!B20,1)-0.5)/Drivers!B20)),0)</f>
        <v>0</v>
      </c>
      <c r="E202" s="14">
        <f>(Summary!B10+Summary!B12)*D202*(1+Drivers!B21)^(A202/12)</f>
        <v>0</v>
      </c>
      <c r="F202" s="14">
        <f>IF(AND(A202&gt;0,A202&lt;=Drivers!B19),Summary!B11*Drivers!B40/Drivers!B19*(1+Drivers!B21)^(A202/12),Summary!B11*(1-Drivers!B40 )*D202*(1+Drivers!B21)^(A202/12))</f>
        <v>0</v>
      </c>
      <c r="G202" s="14">
        <f>IF(AND(A202&gt;0,A202&lt;=2),Drivers!B16/2,0)</f>
        <v>0</v>
      </c>
      <c r="H202" s="14">
        <f>IF(A202=(Drivers!B19+Drivers!B20),Drivers!B17*(1+Drivers!B21)^(A202/12),0)</f>
        <v>0</v>
      </c>
      <c r="I202" s="14">
        <f>IF(AND(A202&gt;0,A202&lt;=(Drivers!B19+Drivers!B20)),Drivers!B18*(1+Drivers!B23)^(A202/12),0)</f>
        <v>0</v>
      </c>
      <c r="J202" s="14">
        <f t="shared" si="1"/>
        <v>0</v>
      </c>
      <c r="K202" s="12">
        <f>IF(A202&gt;(Drivers!B19+Drivers!B20),MIN(1,0.5+0.5*(A202-(Drivers!B19+Drivers!B20))/Drivers!B39),0)</f>
        <v>1</v>
      </c>
      <c r="L202" s="14">
        <f>Drivers!B2*(B202-B201)*Drivers!B24*(1+Drivers!B22)^(A202/12)*Drivers!B25*K202</f>
        <v>1557306.18</v>
      </c>
      <c r="M202" s="14">
        <f>L202*Drivers!B26</f>
        <v>311461.2361</v>
      </c>
      <c r="N202" s="14">
        <f>(L202+M202)*Drivers!B27</f>
        <v>654068.5958</v>
      </c>
      <c r="O202" s="14">
        <f>IF(A202&gt;(Drivers!B19+Drivers!B20),Drivers!B28/12*(1+Drivers!B23)^(A202/12),0)</f>
        <v>640866.7409</v>
      </c>
      <c r="P202" s="14">
        <f>(L202+M202)*Drivers!B29</f>
        <v>74750.69666</v>
      </c>
      <c r="Q202" s="14">
        <f>Drivers!B3*Drivers!B30*(1+Drivers!B22)^(A202/12)*Drivers!B31*(1-Drivers!B32 )*K202</f>
        <v>122565.7642</v>
      </c>
      <c r="R202" s="14">
        <f>IF(A202&gt;(Drivers!B19+Drivers!B20),Drivers!B33/12*(1+Drivers!B23)^(A202/12),0)</f>
        <v>96130.01114</v>
      </c>
      <c r="S202" s="14">
        <f t="shared" si="2"/>
        <v>525517.1362</v>
      </c>
      <c r="T202" s="14">
        <f t="shared" si="6"/>
        <v>5311120.978</v>
      </c>
      <c r="U202" s="14">
        <f>IF(AND(A202&gt;Drivers!B19,A202&lt;=(Drivers!B19+Drivers!B20)),Summary!B31*D202,0)</f>
        <v>0</v>
      </c>
      <c r="V202" s="14">
        <f>IF(A202&lt;=(Drivers!B19+Drivers!B20),(T202+U202/2)*Drivers!B36/12,T202*Drivers!B36/12)</f>
        <v>50898.2427</v>
      </c>
      <c r="W202" s="14">
        <f>IF(A202&gt;(Drivers!B19+Drivers!B20),MIN(T202,MAX(0,Summary!B32/12-V202)),0)</f>
        <v>207503.6117</v>
      </c>
      <c r="X202" s="14">
        <f>IF(A202=(Drivers!B19+1),Summary!B31*Drivers!B38,0)</f>
        <v>0</v>
      </c>
      <c r="Y202" s="14">
        <f t="shared" si="3"/>
        <v>5103617.366</v>
      </c>
      <c r="Z202" s="14">
        <f t="shared" si="4"/>
        <v>267115.2818</v>
      </c>
      <c r="AA202" s="14">
        <f t="shared" si="7"/>
        <v>-120339355.8</v>
      </c>
      <c r="AB202" s="14">
        <f t="shared" si="5"/>
        <v>525517.1362</v>
      </c>
      <c r="AC202" s="14">
        <f>(E202+F202+G202+H202)*Drivers!B45</f>
        <v>0</v>
      </c>
      <c r="AD202" s="14">
        <f>IF(A202&lt;=Summary!B18,AB202+IF(A202=Summary!B18,Summary!B40,0),0)</f>
        <v>0</v>
      </c>
      <c r="AE202" s="14">
        <f>IF(A202&lt;=Summary!B18,Z202+IF(A202=Summary!B18,Summary!B40-Y202,0),0)</f>
        <v>0</v>
      </c>
      <c r="AF202" s="14">
        <f>AD202-IF(A202=0,Drivers!B44,0)</f>
        <v>0</v>
      </c>
      <c r="AG202" s="14">
        <f t="shared" si="8"/>
        <v>-99392079.63</v>
      </c>
    </row>
    <row r="203">
      <c r="A203" s="2">
        <v>201.0</v>
      </c>
      <c r="B203" s="15">
        <f>EDATE(Setup!B2,A203)</f>
        <v>52396</v>
      </c>
      <c r="C203" s="2" t="str">
        <f>IF(A203=0,"T0",IF(A203&lt;=Drivers!B19,"Preconstruction",IF(A203&lt;=(Drivers!B19+Drivers!B20),"Construction","Trading")))</f>
        <v>Trading</v>
      </c>
      <c r="D203" s="12">
        <f t="array" ref="D203">IF(AND(A203&gt;Drivers!B19,A203&lt;=(Drivers!B19+Drivers!B20)),SIN(PI()*(A203-Drivers!B19-0.5)/Drivers!B20)/SUMPRODUCT(SIN(PI()*(SEQUENCE(Drivers!B20,1)-0.5)/Drivers!B20)),0)</f>
        <v>0</v>
      </c>
      <c r="E203" s="14">
        <f>(Summary!B10+Summary!B12)*D203*(1+Drivers!B21)^(A203/12)</f>
        <v>0</v>
      </c>
      <c r="F203" s="14">
        <f>IF(AND(A203&gt;0,A203&lt;=Drivers!B19),Summary!B11*Drivers!B40/Drivers!B19*(1+Drivers!B21)^(A203/12),Summary!B11*(1-Drivers!B40 )*D203*(1+Drivers!B21)^(A203/12))</f>
        <v>0</v>
      </c>
      <c r="G203" s="14">
        <f>IF(AND(A203&gt;0,A203&lt;=2),Drivers!B16/2,0)</f>
        <v>0</v>
      </c>
      <c r="H203" s="14">
        <f>IF(A203=(Drivers!B19+Drivers!B20),Drivers!B17*(1+Drivers!B21)^(A203/12),0)</f>
        <v>0</v>
      </c>
      <c r="I203" s="14">
        <f>IF(AND(A203&gt;0,A203&lt;=(Drivers!B19+Drivers!B20)),Drivers!B18*(1+Drivers!B23)^(A203/12),0)</f>
        <v>0</v>
      </c>
      <c r="J203" s="14">
        <f t="shared" si="1"/>
        <v>0</v>
      </c>
      <c r="K203" s="12">
        <f>IF(A203&gt;(Drivers!B19+Drivers!B20),MIN(1,0.5+0.5*(A203-(Drivers!B19+Drivers!B20))/Drivers!B39),0)</f>
        <v>1</v>
      </c>
      <c r="L203" s="14">
        <f>Drivers!B2*(B203-B202)*Drivers!B24*(1+Drivers!B22)^(A203/12)*Drivers!B25*K203</f>
        <v>1614484.542</v>
      </c>
      <c r="M203" s="14">
        <f>L203*Drivers!B26</f>
        <v>322896.9084</v>
      </c>
      <c r="N203" s="14">
        <f>(L203+M203)*Drivers!B27</f>
        <v>678083.5077</v>
      </c>
      <c r="O203" s="14">
        <f>IF(A203&gt;(Drivers!B19+Drivers!B20),Drivers!B28/12*(1+Drivers!B23)^(A203/12),0)</f>
        <v>642964.7719</v>
      </c>
      <c r="P203" s="14">
        <f>(L203+M203)*Drivers!B29</f>
        <v>77495.25803</v>
      </c>
      <c r="Q203" s="14">
        <f>Drivers!B3*Drivers!B30*(1+Drivers!B22)^(A203/12)*Drivers!B31*(1-Drivers!B32 )*K203</f>
        <v>122967.0126</v>
      </c>
      <c r="R203" s="14">
        <f>IF(A203&gt;(Drivers!B19+Drivers!B20),Drivers!B33/12*(1+Drivers!B23)^(A203/12),0)</f>
        <v>96444.71578</v>
      </c>
      <c r="S203" s="14">
        <f t="shared" si="2"/>
        <v>565360.2099</v>
      </c>
      <c r="T203" s="14">
        <f t="shared" si="6"/>
        <v>5103617.366</v>
      </c>
      <c r="U203" s="14">
        <f>IF(AND(A203&gt;Drivers!B19,A203&lt;=(Drivers!B19+Drivers!B20)),Summary!B31*D203,0)</f>
        <v>0</v>
      </c>
      <c r="V203" s="14">
        <f>IF(A203&lt;=(Drivers!B19+Drivers!B20),(T203+U203/2)*Drivers!B36/12,T203*Drivers!B36/12)</f>
        <v>48909.66642</v>
      </c>
      <c r="W203" s="14">
        <f>IF(A203&gt;(Drivers!B19+Drivers!B20),MIN(T203,MAX(0,Summary!B32/12-V203)),0)</f>
        <v>209492.188</v>
      </c>
      <c r="X203" s="14">
        <f>IF(A203=(Drivers!B19+1),Summary!B31*Drivers!B38,0)</f>
        <v>0</v>
      </c>
      <c r="Y203" s="14">
        <f t="shared" si="3"/>
        <v>4894125.178</v>
      </c>
      <c r="Z203" s="14">
        <f t="shared" si="4"/>
        <v>306958.3554</v>
      </c>
      <c r="AA203" s="14">
        <f t="shared" si="7"/>
        <v>-120032397.5</v>
      </c>
      <c r="AB203" s="14">
        <f t="shared" si="5"/>
        <v>565360.2099</v>
      </c>
      <c r="AC203" s="14">
        <f>(E203+F203+G203+H203)*Drivers!B45</f>
        <v>0</v>
      </c>
      <c r="AD203" s="14">
        <f>IF(A203&lt;=Summary!B18,AB203+IF(A203=Summary!B18,Summary!B40,0),0)</f>
        <v>0</v>
      </c>
      <c r="AE203" s="14">
        <f>IF(A203&lt;=Summary!B18,Z203+IF(A203=Summary!B18,Summary!B40-Y203,0),0)</f>
        <v>0</v>
      </c>
      <c r="AF203" s="14">
        <f>AD203-IF(A203=0,Drivers!B44,0)</f>
        <v>0</v>
      </c>
      <c r="AG203" s="14">
        <f t="shared" si="8"/>
        <v>-98826719.42</v>
      </c>
    </row>
    <row r="204">
      <c r="A204" s="2">
        <v>202.0</v>
      </c>
      <c r="B204" s="15">
        <f>EDATE(Setup!B2,A204)</f>
        <v>52426</v>
      </c>
      <c r="C204" s="2" t="str">
        <f>IF(A204=0,"T0",IF(A204&lt;=Drivers!B19,"Preconstruction",IF(A204&lt;=(Drivers!B19+Drivers!B20),"Construction","Trading")))</f>
        <v>Trading</v>
      </c>
      <c r="D204" s="12">
        <f t="array" ref="D204">IF(AND(A204&gt;Drivers!B19,A204&lt;=(Drivers!B19+Drivers!B20)),SIN(PI()*(A204-Drivers!B19-0.5)/Drivers!B20)/SUMPRODUCT(SIN(PI()*(SEQUENCE(Drivers!B20,1)-0.5)/Drivers!B20)),0)</f>
        <v>0</v>
      </c>
      <c r="E204" s="14">
        <f>(Summary!B10+Summary!B12)*D204*(1+Drivers!B21)^(A204/12)</f>
        <v>0</v>
      </c>
      <c r="F204" s="14">
        <f>IF(AND(A204&gt;0,A204&lt;=Drivers!B19),Summary!B11*Drivers!B40/Drivers!B19*(1+Drivers!B21)^(A204/12),Summary!B11*(1-Drivers!B40 )*D204*(1+Drivers!B21)^(A204/12))</f>
        <v>0</v>
      </c>
      <c r="G204" s="14">
        <f>IF(AND(A204&gt;0,A204&lt;=2),Drivers!B16/2,0)</f>
        <v>0</v>
      </c>
      <c r="H204" s="14">
        <f>IF(A204=(Drivers!B19+Drivers!B20),Drivers!B17*(1+Drivers!B21)^(A204/12),0)</f>
        <v>0</v>
      </c>
      <c r="I204" s="14">
        <f>IF(AND(A204&gt;0,A204&lt;=(Drivers!B19+Drivers!B20)),Drivers!B18*(1+Drivers!B23)^(A204/12),0)</f>
        <v>0</v>
      </c>
      <c r="J204" s="14">
        <f t="shared" si="1"/>
        <v>0</v>
      </c>
      <c r="K204" s="12">
        <f>IF(A204&gt;(Drivers!B19+Drivers!B20),MIN(1,0.5+0.5*(A204-(Drivers!B19+Drivers!B20))/Drivers!B39),0)</f>
        <v>1</v>
      </c>
      <c r="L204" s="14">
        <f>Drivers!B2*(B204-B203)*Drivers!B24*(1+Drivers!B22)^(A204/12)*Drivers!B25*K204</f>
        <v>1567519.301</v>
      </c>
      <c r="M204" s="14">
        <f>L204*Drivers!B26</f>
        <v>313503.8602</v>
      </c>
      <c r="N204" s="14">
        <f>(L204+M204)*Drivers!B27</f>
        <v>658358.1065</v>
      </c>
      <c r="O204" s="14">
        <f>IF(A204&gt;(Drivers!B19+Drivers!B20),Drivers!B28/12*(1+Drivers!B23)^(A204/12),0)</f>
        <v>645069.6712</v>
      </c>
      <c r="P204" s="14">
        <f>(L204+M204)*Drivers!B29</f>
        <v>75240.92645</v>
      </c>
      <c r="Q204" s="14">
        <f>Drivers!B3*Drivers!B30*(1+Drivers!B22)^(A204/12)*Drivers!B31*(1-Drivers!B32 )*K204</f>
        <v>123369.5746</v>
      </c>
      <c r="R204" s="14">
        <f>IF(A204&gt;(Drivers!B19+Drivers!B20),Drivers!B33/12*(1+Drivers!B23)^(A204/12),0)</f>
        <v>96760.45069</v>
      </c>
      <c r="S204" s="14">
        <f t="shared" si="2"/>
        <v>528963.5811</v>
      </c>
      <c r="T204" s="14">
        <f t="shared" si="6"/>
        <v>4894125.178</v>
      </c>
      <c r="U204" s="14">
        <f>IF(AND(A204&gt;Drivers!B19,A204&lt;=(Drivers!B19+Drivers!B20)),Summary!B31*D204,0)</f>
        <v>0</v>
      </c>
      <c r="V204" s="14">
        <f>IF(A204&lt;=(Drivers!B19+Drivers!B20),(T204+U204/2)*Drivers!B36/12,T204*Drivers!B36/12)</f>
        <v>46902.03296</v>
      </c>
      <c r="W204" s="14">
        <f>IF(A204&gt;(Drivers!B19+Drivers!B20),MIN(T204,MAX(0,Summary!B32/12-V204)),0)</f>
        <v>211499.8215</v>
      </c>
      <c r="X204" s="14">
        <f>IF(A204=(Drivers!B19+1),Summary!B31*Drivers!B38,0)</f>
        <v>0</v>
      </c>
      <c r="Y204" s="14">
        <f t="shared" si="3"/>
        <v>4682625.357</v>
      </c>
      <c r="Z204" s="14">
        <f t="shared" si="4"/>
        <v>270561.7267</v>
      </c>
      <c r="AA204" s="14">
        <f t="shared" si="7"/>
        <v>-119761835.8</v>
      </c>
      <c r="AB204" s="14">
        <f t="shared" si="5"/>
        <v>528963.5811</v>
      </c>
      <c r="AC204" s="14">
        <f>(E204+F204+G204+H204)*Drivers!B45</f>
        <v>0</v>
      </c>
      <c r="AD204" s="14">
        <f>IF(A204&lt;=Summary!B18,AB204+IF(A204=Summary!B18,Summary!B40,0),0)</f>
        <v>0</v>
      </c>
      <c r="AE204" s="14">
        <f>IF(A204&lt;=Summary!B18,Z204+IF(A204=Summary!B18,Summary!B40-Y204,0),0)</f>
        <v>0</v>
      </c>
      <c r="AF204" s="14">
        <f>AD204-IF(A204=0,Drivers!B44,0)</f>
        <v>0</v>
      </c>
      <c r="AG204" s="14">
        <f t="shared" si="8"/>
        <v>-98297755.84</v>
      </c>
    </row>
    <row r="205">
      <c r="A205" s="2">
        <v>203.0</v>
      </c>
      <c r="B205" s="15">
        <f>EDATE(Setup!B2,A205)</f>
        <v>52457</v>
      </c>
      <c r="C205" s="2" t="str">
        <f>IF(A205=0,"T0",IF(A205&lt;=Drivers!B19,"Preconstruction",IF(A205&lt;=(Drivers!B19+Drivers!B20),"Construction","Trading")))</f>
        <v>Trading</v>
      </c>
      <c r="D205" s="12">
        <f t="array" ref="D205">IF(AND(A205&gt;Drivers!B19,A205&lt;=(Drivers!B19+Drivers!B20)),SIN(PI()*(A205-Drivers!B19-0.5)/Drivers!B20)/SUMPRODUCT(SIN(PI()*(SEQUENCE(Drivers!B20,1)-0.5)/Drivers!B20)),0)</f>
        <v>0</v>
      </c>
      <c r="E205" s="14">
        <f>(Summary!B10+Summary!B12)*D205*(1+Drivers!B21)^(A205/12)</f>
        <v>0</v>
      </c>
      <c r="F205" s="14">
        <f>IF(AND(A205&gt;0,A205&lt;=Drivers!B19),Summary!B11*Drivers!B40/Drivers!B19*(1+Drivers!B21)^(A205/12),Summary!B11*(1-Drivers!B40 )*D205*(1+Drivers!B21)^(A205/12))</f>
        <v>0</v>
      </c>
      <c r="G205" s="14">
        <f>IF(AND(A205&gt;0,A205&lt;=2),Drivers!B16/2,0)</f>
        <v>0</v>
      </c>
      <c r="H205" s="14">
        <f>IF(A205=(Drivers!B19+Drivers!B20),Drivers!B17*(1+Drivers!B21)^(A205/12),0)</f>
        <v>0</v>
      </c>
      <c r="I205" s="14">
        <f>IF(AND(A205&gt;0,A205&lt;=(Drivers!B19+Drivers!B20)),Drivers!B18*(1+Drivers!B23)^(A205/12),0)</f>
        <v>0</v>
      </c>
      <c r="J205" s="14">
        <f t="shared" si="1"/>
        <v>0</v>
      </c>
      <c r="K205" s="12">
        <f>IF(A205&gt;(Drivers!B19+Drivers!B20),MIN(1,0.5+0.5*(A205-(Drivers!B19+Drivers!B20))/Drivers!B39),0)</f>
        <v>1</v>
      </c>
      <c r="L205" s="14">
        <f>Drivers!B2*(B205-B204)*Drivers!B24*(1+Drivers!B22)^(A205/12)*Drivers!B25*K205</f>
        <v>1625072.65</v>
      </c>
      <c r="M205" s="14">
        <f>L205*Drivers!B26</f>
        <v>325014.53</v>
      </c>
      <c r="N205" s="14">
        <f>(L205+M205)*Drivers!B27</f>
        <v>682530.5129</v>
      </c>
      <c r="O205" s="14">
        <f>IF(A205&gt;(Drivers!B19+Drivers!B20),Drivers!B28/12*(1+Drivers!B23)^(A205/12),0)</f>
        <v>647181.4615</v>
      </c>
      <c r="P205" s="14">
        <f>(L205+M205)*Drivers!B29</f>
        <v>78003.48719</v>
      </c>
      <c r="Q205" s="14">
        <f>Drivers!B3*Drivers!B30*(1+Drivers!B22)^(A205/12)*Drivers!B31*(1-Drivers!B32 )*K205</f>
        <v>123773.4545</v>
      </c>
      <c r="R205" s="14">
        <f>IF(A205&gt;(Drivers!B19+Drivers!B20),Drivers!B33/12*(1+Drivers!B23)^(A205/12),0)</f>
        <v>97077.21922</v>
      </c>
      <c r="S205" s="14">
        <f t="shared" si="2"/>
        <v>569067.9534</v>
      </c>
      <c r="T205" s="14">
        <f t="shared" si="6"/>
        <v>4682625.357</v>
      </c>
      <c r="U205" s="14">
        <f>IF(AND(A205&gt;Drivers!B19,A205&lt;=(Drivers!B19+Drivers!B20)),Summary!B31*D205,0)</f>
        <v>0</v>
      </c>
      <c r="V205" s="14">
        <f>IF(A205&lt;=(Drivers!B19+Drivers!B20),(T205+U205/2)*Drivers!B36/12,T205*Drivers!B36/12)</f>
        <v>44875.15967</v>
      </c>
      <c r="W205" s="14">
        <f>IF(A205&gt;(Drivers!B19+Drivers!B20),MIN(T205,MAX(0,Summary!B32/12-V205)),0)</f>
        <v>213526.6947</v>
      </c>
      <c r="X205" s="14">
        <f>IF(A205=(Drivers!B19+1),Summary!B31*Drivers!B38,0)</f>
        <v>0</v>
      </c>
      <c r="Y205" s="14">
        <f t="shared" si="3"/>
        <v>4469098.662</v>
      </c>
      <c r="Z205" s="14">
        <f t="shared" si="4"/>
        <v>310666.099</v>
      </c>
      <c r="AA205" s="14">
        <f t="shared" si="7"/>
        <v>-119451169.7</v>
      </c>
      <c r="AB205" s="14">
        <f t="shared" si="5"/>
        <v>569067.9534</v>
      </c>
      <c r="AC205" s="14">
        <f>(E205+F205+G205+H205)*Drivers!B45</f>
        <v>0</v>
      </c>
      <c r="AD205" s="14">
        <f>IF(A205&lt;=Summary!B18,AB205+IF(A205=Summary!B18,Summary!B40,0),0)</f>
        <v>0</v>
      </c>
      <c r="AE205" s="14">
        <f>IF(A205&lt;=Summary!B18,Z205+IF(A205=Summary!B18,Summary!B40-Y205,0),0)</f>
        <v>0</v>
      </c>
      <c r="AF205" s="14">
        <f>AD205-IF(A205=0,Drivers!B44,0)</f>
        <v>0</v>
      </c>
      <c r="AG205" s="14">
        <f t="shared" si="8"/>
        <v>-97728687.88</v>
      </c>
    </row>
    <row r="206">
      <c r="A206" s="2">
        <v>204.0</v>
      </c>
      <c r="B206" s="15">
        <f>EDATE(Setup!B2,A206)</f>
        <v>52488</v>
      </c>
      <c r="C206" s="2" t="str">
        <f>IF(A206=0,"T0",IF(A206&lt;=Drivers!B19,"Preconstruction",IF(A206&lt;=(Drivers!B19+Drivers!B20),"Construction","Trading")))</f>
        <v>Trading</v>
      </c>
      <c r="D206" s="12">
        <f t="array" ref="D206">IF(AND(A206&gt;Drivers!B19,A206&lt;=(Drivers!B19+Drivers!B20)),SIN(PI()*(A206-Drivers!B19-0.5)/Drivers!B20)/SUMPRODUCT(SIN(PI()*(SEQUENCE(Drivers!B20,1)-0.5)/Drivers!B20)),0)</f>
        <v>0</v>
      </c>
      <c r="E206" s="14">
        <f>(Summary!B10+Summary!B12)*D206*(1+Drivers!B21)^(A206/12)</f>
        <v>0</v>
      </c>
      <c r="F206" s="14">
        <f>IF(AND(A206&gt;0,A206&lt;=Drivers!B19),Summary!B11*Drivers!B40/Drivers!B19*(1+Drivers!B21)^(A206/12),Summary!B11*(1-Drivers!B40 )*D206*(1+Drivers!B21)^(A206/12))</f>
        <v>0</v>
      </c>
      <c r="G206" s="14">
        <f>IF(AND(A206&gt;0,A206&lt;=2),Drivers!B16/2,0)</f>
        <v>0</v>
      </c>
      <c r="H206" s="14">
        <f>IF(A206=(Drivers!B19+Drivers!B20),Drivers!B17*(1+Drivers!B21)^(A206/12),0)</f>
        <v>0</v>
      </c>
      <c r="I206" s="14">
        <f>IF(AND(A206&gt;0,A206&lt;=(Drivers!B19+Drivers!B20)),Drivers!B18*(1+Drivers!B23)^(A206/12),0)</f>
        <v>0</v>
      </c>
      <c r="J206" s="14">
        <f t="shared" si="1"/>
        <v>0</v>
      </c>
      <c r="K206" s="12">
        <f>IF(A206&gt;(Drivers!B19+Drivers!B20),MIN(1,0.5+0.5*(A206-(Drivers!B19+Drivers!B20))/Drivers!B39),0)</f>
        <v>1</v>
      </c>
      <c r="L206" s="14">
        <f>Drivers!B2*(B206-B205)*Drivers!B24*(1+Drivers!B22)^(A206/12)*Drivers!B25*K206</f>
        <v>1630392.715</v>
      </c>
      <c r="M206" s="14">
        <f>L206*Drivers!B26</f>
        <v>326078.543</v>
      </c>
      <c r="N206" s="14">
        <f>(L206+M206)*Drivers!B27</f>
        <v>684764.9402</v>
      </c>
      <c r="O206" s="14">
        <f>IF(A206&gt;(Drivers!B19+Drivers!B20),Drivers!B28/12*(1+Drivers!B23)^(A206/12),0)</f>
        <v>649300.1652</v>
      </c>
      <c r="P206" s="14">
        <f>(L206+M206)*Drivers!B29</f>
        <v>78258.85031</v>
      </c>
      <c r="Q206" s="14">
        <f>Drivers!B3*Drivers!B30*(1+Drivers!B22)^(A206/12)*Drivers!B31*(1-Drivers!B32 )*K206</f>
        <v>124178.6566</v>
      </c>
      <c r="R206" s="14">
        <f>IF(A206&gt;(Drivers!B19+Drivers!B20),Drivers!B33/12*(1+Drivers!B23)^(A206/12),0)</f>
        <v>97395.02478</v>
      </c>
      <c r="S206" s="14">
        <f t="shared" si="2"/>
        <v>570930.9338</v>
      </c>
      <c r="T206" s="14">
        <f t="shared" si="6"/>
        <v>4469098.662</v>
      </c>
      <c r="U206" s="14">
        <f>IF(AND(A206&gt;Drivers!B19,A206&lt;=(Drivers!B19+Drivers!B20)),Summary!B31*D206,0)</f>
        <v>0</v>
      </c>
      <c r="V206" s="14">
        <f>IF(A206&lt;=(Drivers!B19+Drivers!B20),(T206+U206/2)*Drivers!B36/12,T206*Drivers!B36/12)</f>
        <v>42828.86218</v>
      </c>
      <c r="W206" s="14">
        <f>IF(A206&gt;(Drivers!B19+Drivers!B20),MIN(T206,MAX(0,Summary!B32/12-V206)),0)</f>
        <v>215572.9922</v>
      </c>
      <c r="X206" s="14">
        <f>IF(A206=(Drivers!B19+1),Summary!B31*Drivers!B38,0)</f>
        <v>0</v>
      </c>
      <c r="Y206" s="14">
        <f t="shared" si="3"/>
        <v>4253525.67</v>
      </c>
      <c r="Z206" s="14">
        <f t="shared" si="4"/>
        <v>312529.0794</v>
      </c>
      <c r="AA206" s="14">
        <f t="shared" si="7"/>
        <v>-119138640.6</v>
      </c>
      <c r="AB206" s="14">
        <f t="shared" si="5"/>
        <v>570930.9338</v>
      </c>
      <c r="AC206" s="14">
        <f>(E206+F206+G206+H206)*Drivers!B45</f>
        <v>0</v>
      </c>
      <c r="AD206" s="14">
        <f>IF(A206&lt;=Summary!B18,AB206+IF(A206=Summary!B18,Summary!B40,0),0)</f>
        <v>0</v>
      </c>
      <c r="AE206" s="14">
        <f>IF(A206&lt;=Summary!B18,Z206+IF(A206=Summary!B18,Summary!B40-Y206,0),0)</f>
        <v>0</v>
      </c>
      <c r="AF206" s="14">
        <f>AD206-IF(A206=0,Drivers!B44,0)</f>
        <v>0</v>
      </c>
      <c r="AG206" s="14">
        <f t="shared" si="8"/>
        <v>-97157756.95</v>
      </c>
    </row>
    <row r="207">
      <c r="A207" s="2">
        <v>205.0</v>
      </c>
      <c r="B207" s="15">
        <f>EDATE(Setup!B2,A207)</f>
        <v>52518</v>
      </c>
      <c r="C207" s="2" t="str">
        <f>IF(A207=0,"T0",IF(A207&lt;=Drivers!B19,"Preconstruction",IF(A207&lt;=(Drivers!B19+Drivers!B20),"Construction","Trading")))</f>
        <v>Trading</v>
      </c>
      <c r="D207" s="12">
        <f t="array" ref="D207">IF(AND(A207&gt;Drivers!B19,A207&lt;=(Drivers!B19+Drivers!B20)),SIN(PI()*(A207-Drivers!B19-0.5)/Drivers!B20)/SUMPRODUCT(SIN(PI()*(SEQUENCE(Drivers!B20,1)-0.5)/Drivers!B20)),0)</f>
        <v>0</v>
      </c>
      <c r="E207" s="14">
        <f>(Summary!B10+Summary!B12)*D207*(1+Drivers!B21)^(A207/12)</f>
        <v>0</v>
      </c>
      <c r="F207" s="14">
        <f>IF(AND(A207&gt;0,A207&lt;=Drivers!B19),Summary!B11*Drivers!B40/Drivers!B19*(1+Drivers!B21)^(A207/12),Summary!B11*(1-Drivers!B40 )*D207*(1+Drivers!B21)^(A207/12))</f>
        <v>0</v>
      </c>
      <c r="G207" s="14">
        <f>IF(AND(A207&gt;0,A207&lt;=2),Drivers!B16/2,0)</f>
        <v>0</v>
      </c>
      <c r="H207" s="14">
        <f>IF(A207=(Drivers!B19+Drivers!B20),Drivers!B17*(1+Drivers!B21)^(A207/12),0)</f>
        <v>0</v>
      </c>
      <c r="I207" s="14">
        <f>IF(AND(A207&gt;0,A207&lt;=(Drivers!B19+Drivers!B20)),Drivers!B18*(1+Drivers!B23)^(A207/12),0)</f>
        <v>0</v>
      </c>
      <c r="J207" s="14">
        <f t="shared" si="1"/>
        <v>0</v>
      </c>
      <c r="K207" s="12">
        <f>IF(A207&gt;(Drivers!B19+Drivers!B20),MIN(1,0.5+0.5*(A207-(Drivers!B19+Drivers!B20))/Drivers!B39),0)</f>
        <v>1</v>
      </c>
      <c r="L207" s="14">
        <f>Drivers!B2*(B207-B206)*Drivers!B24*(1+Drivers!B22)^(A207/12)*Drivers!B25*K207</f>
        <v>1582964.706</v>
      </c>
      <c r="M207" s="14">
        <f>L207*Drivers!B26</f>
        <v>316592.9412</v>
      </c>
      <c r="N207" s="14">
        <f>(L207+M207)*Drivers!B27</f>
        <v>664845.1765</v>
      </c>
      <c r="O207" s="14">
        <f>IF(A207&gt;(Drivers!B19+Drivers!B20),Drivers!B28/12*(1+Drivers!B23)^(A207/12),0)</f>
        <v>651425.805</v>
      </c>
      <c r="P207" s="14">
        <f>(L207+M207)*Drivers!B29</f>
        <v>75982.30589</v>
      </c>
      <c r="Q207" s="14">
        <f>Drivers!B3*Drivers!B30*(1+Drivers!B22)^(A207/12)*Drivers!B31*(1-Drivers!B32 )*K207</f>
        <v>124585.1852</v>
      </c>
      <c r="R207" s="14">
        <f>IF(A207&gt;(Drivers!B19+Drivers!B20),Drivers!B33/12*(1+Drivers!B23)^(A207/12),0)</f>
        <v>97713.87075</v>
      </c>
      <c r="S207" s="14">
        <f t="shared" si="2"/>
        <v>534175.6743</v>
      </c>
      <c r="T207" s="14">
        <f t="shared" si="6"/>
        <v>4253525.67</v>
      </c>
      <c r="U207" s="14">
        <f>IF(AND(A207&gt;Drivers!B19,A207&lt;=(Drivers!B19+Drivers!B20)),Summary!B31*D207,0)</f>
        <v>0</v>
      </c>
      <c r="V207" s="14">
        <f>IF(A207&lt;=(Drivers!B19+Drivers!B20),(T207+U207/2)*Drivers!B36/12,T207*Drivers!B36/12)</f>
        <v>40762.95433</v>
      </c>
      <c r="W207" s="14">
        <f>IF(A207&gt;(Drivers!B19+Drivers!B20),MIN(T207,MAX(0,Summary!B32/12-V207)),0)</f>
        <v>217638.9001</v>
      </c>
      <c r="X207" s="14">
        <f>IF(A207=(Drivers!B19+1),Summary!B31*Drivers!B38,0)</f>
        <v>0</v>
      </c>
      <c r="Y207" s="14">
        <f t="shared" si="3"/>
        <v>4035886.769</v>
      </c>
      <c r="Z207" s="14">
        <f t="shared" si="4"/>
        <v>275773.8199</v>
      </c>
      <c r="AA207" s="14">
        <f t="shared" si="7"/>
        <v>-118862866.8</v>
      </c>
      <c r="AB207" s="14">
        <f t="shared" si="5"/>
        <v>534175.6743</v>
      </c>
      <c r="AC207" s="14">
        <f>(E207+F207+G207+H207)*Drivers!B45</f>
        <v>0</v>
      </c>
      <c r="AD207" s="14">
        <f>IF(A207&lt;=Summary!B18,AB207+IF(A207=Summary!B18,Summary!B40,0),0)</f>
        <v>0</v>
      </c>
      <c r="AE207" s="14">
        <f>IF(A207&lt;=Summary!B18,Z207+IF(A207=Summary!B18,Summary!B40-Y207,0),0)</f>
        <v>0</v>
      </c>
      <c r="AF207" s="14">
        <f>AD207-IF(A207=0,Drivers!B44,0)</f>
        <v>0</v>
      </c>
      <c r="AG207" s="14">
        <f t="shared" si="8"/>
        <v>-96623581.27</v>
      </c>
    </row>
    <row r="208">
      <c r="A208" s="2">
        <v>206.0</v>
      </c>
      <c r="B208" s="15">
        <f>EDATE(Setup!B2,A208)</f>
        <v>52549</v>
      </c>
      <c r="C208" s="2" t="str">
        <f>IF(A208=0,"T0",IF(A208&lt;=Drivers!B19,"Preconstruction",IF(A208&lt;=(Drivers!B19+Drivers!B20),"Construction","Trading")))</f>
        <v>Trading</v>
      </c>
      <c r="D208" s="12">
        <f t="array" ref="D208">IF(AND(A208&gt;Drivers!B19,A208&lt;=(Drivers!B19+Drivers!B20)),SIN(PI()*(A208-Drivers!B19-0.5)/Drivers!B20)/SUMPRODUCT(SIN(PI()*(SEQUENCE(Drivers!B20,1)-0.5)/Drivers!B20)),0)</f>
        <v>0</v>
      </c>
      <c r="E208" s="14">
        <f>(Summary!B10+Summary!B12)*D208*(1+Drivers!B21)^(A208/12)</f>
        <v>0</v>
      </c>
      <c r="F208" s="14">
        <f>IF(AND(A208&gt;0,A208&lt;=Drivers!B19),Summary!B11*Drivers!B40/Drivers!B19*(1+Drivers!B21)^(A208/12),Summary!B11*(1-Drivers!B40 )*D208*(1+Drivers!B21)^(A208/12))</f>
        <v>0</v>
      </c>
      <c r="G208" s="14">
        <f>IF(AND(A208&gt;0,A208&lt;=2),Drivers!B16/2,0)</f>
        <v>0</v>
      </c>
      <c r="H208" s="14">
        <f>IF(A208=(Drivers!B19+Drivers!B20),Drivers!B17*(1+Drivers!B21)^(A208/12),0)</f>
        <v>0</v>
      </c>
      <c r="I208" s="14">
        <f>IF(AND(A208&gt;0,A208&lt;=(Drivers!B19+Drivers!B20)),Drivers!B18*(1+Drivers!B23)^(A208/12),0)</f>
        <v>0</v>
      </c>
      <c r="J208" s="14">
        <f t="shared" si="1"/>
        <v>0</v>
      </c>
      <c r="K208" s="12">
        <f>IF(A208&gt;(Drivers!B19+Drivers!B20),MIN(1,0.5+0.5*(A208-(Drivers!B19+Drivers!B20))/Drivers!B39),0)</f>
        <v>1</v>
      </c>
      <c r="L208" s="14">
        <f>Drivers!B2*(B208-B207)*Drivers!B24*(1+Drivers!B22)^(A208/12)*Drivers!B25*K208</f>
        <v>1641085.151</v>
      </c>
      <c r="M208" s="14">
        <f>L208*Drivers!B26</f>
        <v>328217.0303</v>
      </c>
      <c r="N208" s="14">
        <f>(L208+M208)*Drivers!B27</f>
        <v>689255.7635</v>
      </c>
      <c r="O208" s="14">
        <f>IF(A208&gt;(Drivers!B19+Drivers!B20),Drivers!B28/12*(1+Drivers!B23)^(A208/12),0)</f>
        <v>653558.4035</v>
      </c>
      <c r="P208" s="14">
        <f>(L208+M208)*Drivers!B29</f>
        <v>78772.08726</v>
      </c>
      <c r="Q208" s="14">
        <f>Drivers!B3*Drivers!B30*(1+Drivers!B22)^(A208/12)*Drivers!B31*(1-Drivers!B32 )*K208</f>
        <v>124993.0447</v>
      </c>
      <c r="R208" s="14">
        <f>IF(A208&gt;(Drivers!B19+Drivers!B20),Drivers!B33/12*(1+Drivers!B23)^(A208/12),0)</f>
        <v>98033.76053</v>
      </c>
      <c r="S208" s="14">
        <f t="shared" si="2"/>
        <v>574675.2113</v>
      </c>
      <c r="T208" s="14">
        <f t="shared" si="6"/>
        <v>4035886.769</v>
      </c>
      <c r="U208" s="14">
        <f>IF(AND(A208&gt;Drivers!B19,A208&lt;=(Drivers!B19+Drivers!B20)),Summary!B31*D208,0)</f>
        <v>0</v>
      </c>
      <c r="V208" s="14">
        <f>IF(A208&lt;=(Drivers!B19+Drivers!B20),(T208+U208/2)*Drivers!B36/12,T208*Drivers!B36/12)</f>
        <v>38677.24821</v>
      </c>
      <c r="W208" s="14">
        <f>IF(A208&gt;(Drivers!B19+Drivers!B20),MIN(T208,MAX(0,Summary!B32/12-V208)),0)</f>
        <v>219724.6062</v>
      </c>
      <c r="X208" s="14">
        <f>IF(A208=(Drivers!B19+1),Summary!B31*Drivers!B38,0)</f>
        <v>0</v>
      </c>
      <c r="Y208" s="14">
        <f t="shared" si="3"/>
        <v>3816162.163</v>
      </c>
      <c r="Z208" s="14">
        <f t="shared" si="4"/>
        <v>316273.3569</v>
      </c>
      <c r="AA208" s="14">
        <f t="shared" si="7"/>
        <v>-118546593.4</v>
      </c>
      <c r="AB208" s="14">
        <f t="shared" si="5"/>
        <v>574675.2113</v>
      </c>
      <c r="AC208" s="14">
        <f>(E208+F208+G208+H208)*Drivers!B45</f>
        <v>0</v>
      </c>
      <c r="AD208" s="14">
        <f>IF(A208&lt;=Summary!B18,AB208+IF(A208=Summary!B18,Summary!B40,0),0)</f>
        <v>0</v>
      </c>
      <c r="AE208" s="14">
        <f>IF(A208&lt;=Summary!B18,Z208+IF(A208=Summary!B18,Summary!B40-Y208,0),0)</f>
        <v>0</v>
      </c>
      <c r="AF208" s="14">
        <f>AD208-IF(A208=0,Drivers!B44,0)</f>
        <v>0</v>
      </c>
      <c r="AG208" s="14">
        <f t="shared" si="8"/>
        <v>-96048906.06</v>
      </c>
    </row>
    <row r="209">
      <c r="A209" s="2">
        <v>207.0</v>
      </c>
      <c r="B209" s="15">
        <f>EDATE(Setup!B2,A209)</f>
        <v>52579</v>
      </c>
      <c r="C209" s="2" t="str">
        <f>IF(A209=0,"T0",IF(A209&lt;=Drivers!B19,"Preconstruction",IF(A209&lt;=(Drivers!B19+Drivers!B20),"Construction","Trading")))</f>
        <v>Trading</v>
      </c>
      <c r="D209" s="12">
        <f t="array" ref="D209">IF(AND(A209&gt;Drivers!B19,A209&lt;=(Drivers!B19+Drivers!B20)),SIN(PI()*(A209-Drivers!B19-0.5)/Drivers!B20)/SUMPRODUCT(SIN(PI()*(SEQUENCE(Drivers!B20,1)-0.5)/Drivers!B20)),0)</f>
        <v>0</v>
      </c>
      <c r="E209" s="14">
        <f>(Summary!B10+Summary!B12)*D209*(1+Drivers!B21)^(A209/12)</f>
        <v>0</v>
      </c>
      <c r="F209" s="14">
        <f>IF(AND(A209&gt;0,A209&lt;=Drivers!B19),Summary!B11*Drivers!B40/Drivers!B19*(1+Drivers!B21)^(A209/12),Summary!B11*(1-Drivers!B40 )*D209*(1+Drivers!B21)^(A209/12))</f>
        <v>0</v>
      </c>
      <c r="G209" s="14">
        <f>IF(AND(A209&gt;0,A209&lt;=2),Drivers!B16/2,0)</f>
        <v>0</v>
      </c>
      <c r="H209" s="14">
        <f>IF(A209=(Drivers!B19+Drivers!B20),Drivers!B17*(1+Drivers!B21)^(A209/12),0)</f>
        <v>0</v>
      </c>
      <c r="I209" s="14">
        <f>IF(AND(A209&gt;0,A209&lt;=(Drivers!B19+Drivers!B20)),Drivers!B18*(1+Drivers!B23)^(A209/12),0)</f>
        <v>0</v>
      </c>
      <c r="J209" s="14">
        <f t="shared" si="1"/>
        <v>0</v>
      </c>
      <c r="K209" s="12">
        <f>IF(A209&gt;(Drivers!B19+Drivers!B20),MIN(1,0.5+0.5*(A209-(Drivers!B19+Drivers!B20))/Drivers!B39),0)</f>
        <v>1</v>
      </c>
      <c r="L209" s="14">
        <f>Drivers!B2*(B209-B208)*Drivers!B24*(1+Drivers!B22)^(A209/12)*Drivers!B25*K209</f>
        <v>1593346.1</v>
      </c>
      <c r="M209" s="14">
        <f>L209*Drivers!B26</f>
        <v>318669.2201</v>
      </c>
      <c r="N209" s="14">
        <f>(L209+M209)*Drivers!B27</f>
        <v>669205.3621</v>
      </c>
      <c r="O209" s="14">
        <f>IF(A209&gt;(Drivers!B19+Drivers!B20),Drivers!B28/12*(1+Drivers!B23)^(A209/12),0)</f>
        <v>655697.9837</v>
      </c>
      <c r="P209" s="14">
        <f>(L209+M209)*Drivers!B29</f>
        <v>76480.61282</v>
      </c>
      <c r="Q209" s="14">
        <f>Drivers!B3*Drivers!B30*(1+Drivers!B22)^(A209/12)*Drivers!B31*(1-Drivers!B32 )*K209</f>
        <v>125402.2394</v>
      </c>
      <c r="R209" s="14">
        <f>IF(A209&gt;(Drivers!B19+Drivers!B20),Drivers!B33/12*(1+Drivers!B23)^(A209/12),0)</f>
        <v>98354.69755</v>
      </c>
      <c r="S209" s="14">
        <f t="shared" si="2"/>
        <v>537678.9036</v>
      </c>
      <c r="T209" s="14">
        <f t="shared" si="6"/>
        <v>3816162.163</v>
      </c>
      <c r="U209" s="14">
        <f>IF(AND(A209&gt;Drivers!B19,A209&lt;=(Drivers!B19+Drivers!B20)),Summary!B31*D209,0)</f>
        <v>0</v>
      </c>
      <c r="V209" s="14">
        <f>IF(A209&lt;=(Drivers!B19+Drivers!B20),(T209+U209/2)*Drivers!B36/12,T209*Drivers!B36/12)</f>
        <v>36571.55406</v>
      </c>
      <c r="W209" s="14">
        <f>IF(A209&gt;(Drivers!B19+Drivers!B20),MIN(T209,MAX(0,Summary!B32/12-V209)),0)</f>
        <v>221830.3004</v>
      </c>
      <c r="X209" s="14">
        <f>IF(A209=(Drivers!B19+1),Summary!B31*Drivers!B38,0)</f>
        <v>0</v>
      </c>
      <c r="Y209" s="14">
        <f t="shared" si="3"/>
        <v>3594331.863</v>
      </c>
      <c r="Z209" s="14">
        <f t="shared" si="4"/>
        <v>279277.0492</v>
      </c>
      <c r="AA209" s="14">
        <f t="shared" si="7"/>
        <v>-118267316.4</v>
      </c>
      <c r="AB209" s="14">
        <f t="shared" si="5"/>
        <v>537678.9036</v>
      </c>
      <c r="AC209" s="14">
        <f>(E209+F209+G209+H209)*Drivers!B45</f>
        <v>0</v>
      </c>
      <c r="AD209" s="14">
        <f>IF(A209&lt;=Summary!B18,AB209+IF(A209=Summary!B18,Summary!B40,0),0)</f>
        <v>0</v>
      </c>
      <c r="AE209" s="14">
        <f>IF(A209&lt;=Summary!B18,Z209+IF(A209=Summary!B18,Summary!B40-Y209,0),0)</f>
        <v>0</v>
      </c>
      <c r="AF209" s="14">
        <f>AD209-IF(A209=0,Drivers!B44,0)</f>
        <v>0</v>
      </c>
      <c r="AG209" s="14">
        <f t="shared" si="8"/>
        <v>-95511227.16</v>
      </c>
    </row>
    <row r="210">
      <c r="A210" s="2">
        <v>208.0</v>
      </c>
      <c r="B210" s="15">
        <f>EDATE(Setup!B2,A210)</f>
        <v>52610</v>
      </c>
      <c r="C210" s="2" t="str">
        <f>IF(A210=0,"T0",IF(A210&lt;=Drivers!B19,"Preconstruction",IF(A210&lt;=(Drivers!B19+Drivers!B20),"Construction","Trading")))</f>
        <v>Trading</v>
      </c>
      <c r="D210" s="12">
        <f t="array" ref="D210">IF(AND(A210&gt;Drivers!B19,A210&lt;=(Drivers!B19+Drivers!B20)),SIN(PI()*(A210-Drivers!B19-0.5)/Drivers!B20)/SUMPRODUCT(SIN(PI()*(SEQUENCE(Drivers!B20,1)-0.5)/Drivers!B20)),0)</f>
        <v>0</v>
      </c>
      <c r="E210" s="14">
        <f>(Summary!B10+Summary!B12)*D210*(1+Drivers!B21)^(A210/12)</f>
        <v>0</v>
      </c>
      <c r="F210" s="14">
        <f>IF(AND(A210&gt;0,A210&lt;=Drivers!B19),Summary!B11*Drivers!B40/Drivers!B19*(1+Drivers!B21)^(A210/12),Summary!B11*(1-Drivers!B40 )*D210*(1+Drivers!B21)^(A210/12))</f>
        <v>0</v>
      </c>
      <c r="G210" s="14">
        <f>IF(AND(A210&gt;0,A210&lt;=2),Drivers!B16/2,0)</f>
        <v>0</v>
      </c>
      <c r="H210" s="14">
        <f>IF(A210=(Drivers!B19+Drivers!B20),Drivers!B17*(1+Drivers!B21)^(A210/12),0)</f>
        <v>0</v>
      </c>
      <c r="I210" s="14">
        <f>IF(AND(A210&gt;0,A210&lt;=(Drivers!B19+Drivers!B20)),Drivers!B18*(1+Drivers!B23)^(A210/12),0)</f>
        <v>0</v>
      </c>
      <c r="J210" s="14">
        <f t="shared" si="1"/>
        <v>0</v>
      </c>
      <c r="K210" s="12">
        <f>IF(A210&gt;(Drivers!B19+Drivers!B20),MIN(1,0.5+0.5*(A210-(Drivers!B19+Drivers!B20))/Drivers!B39),0)</f>
        <v>1</v>
      </c>
      <c r="L210" s="14">
        <f>Drivers!B2*(B210-B209)*Drivers!B24*(1+Drivers!B22)^(A210/12)*Drivers!B25*K210</f>
        <v>1651847.711</v>
      </c>
      <c r="M210" s="14">
        <f>L210*Drivers!B26</f>
        <v>330369.5422</v>
      </c>
      <c r="N210" s="14">
        <f>(L210+M210)*Drivers!B27</f>
        <v>693776.0386</v>
      </c>
      <c r="O210" s="14">
        <f>IF(A210&gt;(Drivers!B19+Drivers!B20),Drivers!B28/12*(1+Drivers!B23)^(A210/12),0)</f>
        <v>657844.5683</v>
      </c>
      <c r="P210" s="14">
        <f>(L210+M210)*Drivers!B29</f>
        <v>79288.69012</v>
      </c>
      <c r="Q210" s="14">
        <f>Drivers!B3*Drivers!B30*(1+Drivers!B22)^(A210/12)*Drivers!B31*(1-Drivers!B32 )*K210</f>
        <v>125812.7737</v>
      </c>
      <c r="R210" s="14">
        <f>IF(A210&gt;(Drivers!B19+Drivers!B20),Drivers!B33/12*(1+Drivers!B23)^(A210/12),0)</f>
        <v>98676.68524</v>
      </c>
      <c r="S210" s="14">
        <f t="shared" si="2"/>
        <v>578444.0446</v>
      </c>
      <c r="T210" s="14">
        <f t="shared" si="6"/>
        <v>3594331.863</v>
      </c>
      <c r="U210" s="14">
        <f>IF(AND(A210&gt;Drivers!B19,A210&lt;=(Drivers!B19+Drivers!B20)),Summary!B31*D210,0)</f>
        <v>0</v>
      </c>
      <c r="V210" s="14">
        <f>IF(A210&lt;=(Drivers!B19+Drivers!B20),(T210+U210/2)*Drivers!B36/12,T210*Drivers!B36/12)</f>
        <v>34445.68035</v>
      </c>
      <c r="W210" s="14">
        <f>IF(A210&gt;(Drivers!B19+Drivers!B20),MIN(T210,MAX(0,Summary!B32/12-V210)),0)</f>
        <v>223956.1741</v>
      </c>
      <c r="X210" s="14">
        <f>IF(A210=(Drivers!B19+1),Summary!B31*Drivers!B38,0)</f>
        <v>0</v>
      </c>
      <c r="Y210" s="14">
        <f t="shared" si="3"/>
        <v>3370375.689</v>
      </c>
      <c r="Z210" s="14">
        <f t="shared" si="4"/>
        <v>320042.1901</v>
      </c>
      <c r="AA210" s="14">
        <f t="shared" si="7"/>
        <v>-117947274.2</v>
      </c>
      <c r="AB210" s="14">
        <f t="shared" si="5"/>
        <v>578444.0446</v>
      </c>
      <c r="AC210" s="14">
        <f>(E210+F210+G210+H210)*Drivers!B45</f>
        <v>0</v>
      </c>
      <c r="AD210" s="14">
        <f>IF(A210&lt;=Summary!B18,AB210+IF(A210=Summary!B18,Summary!B40,0),0)</f>
        <v>0</v>
      </c>
      <c r="AE210" s="14">
        <f>IF(A210&lt;=Summary!B18,Z210+IF(A210=Summary!B18,Summary!B40-Y210,0),0)</f>
        <v>0</v>
      </c>
      <c r="AF210" s="14">
        <f>AD210-IF(A210=0,Drivers!B44,0)</f>
        <v>0</v>
      </c>
      <c r="AG210" s="14">
        <f t="shared" si="8"/>
        <v>-94932783.11</v>
      </c>
    </row>
    <row r="211">
      <c r="A211" s="2">
        <v>209.0</v>
      </c>
      <c r="B211" s="15">
        <f>EDATE(Setup!B2,A211)</f>
        <v>52641</v>
      </c>
      <c r="C211" s="2" t="str">
        <f>IF(A211=0,"T0",IF(A211&lt;=Drivers!B19,"Preconstruction",IF(A211&lt;=(Drivers!B19+Drivers!B20),"Construction","Trading")))</f>
        <v>Trading</v>
      </c>
      <c r="D211" s="12">
        <f t="array" ref="D211">IF(AND(A211&gt;Drivers!B19,A211&lt;=(Drivers!B19+Drivers!B20)),SIN(PI()*(A211-Drivers!B19-0.5)/Drivers!B20)/SUMPRODUCT(SIN(PI()*(SEQUENCE(Drivers!B20,1)-0.5)/Drivers!B20)),0)</f>
        <v>0</v>
      </c>
      <c r="E211" s="14">
        <f>(Summary!B10+Summary!B12)*D211*(1+Drivers!B21)^(A211/12)</f>
        <v>0</v>
      </c>
      <c r="F211" s="14">
        <f>IF(AND(A211&gt;0,A211&lt;=Drivers!B19),Summary!B11*Drivers!B40/Drivers!B19*(1+Drivers!B21)^(A211/12),Summary!B11*(1-Drivers!B40 )*D211*(1+Drivers!B21)^(A211/12))</f>
        <v>0</v>
      </c>
      <c r="G211" s="14">
        <f>IF(AND(A211&gt;0,A211&lt;=2),Drivers!B16/2,0)</f>
        <v>0</v>
      </c>
      <c r="H211" s="14">
        <f>IF(A211=(Drivers!B19+Drivers!B20),Drivers!B17*(1+Drivers!B21)^(A211/12),0)</f>
        <v>0</v>
      </c>
      <c r="I211" s="14">
        <f>IF(AND(A211&gt;0,A211&lt;=(Drivers!B19+Drivers!B20)),Drivers!B18*(1+Drivers!B23)^(A211/12),0)</f>
        <v>0</v>
      </c>
      <c r="J211" s="14">
        <f t="shared" si="1"/>
        <v>0</v>
      </c>
      <c r="K211" s="12">
        <f>IF(A211&gt;(Drivers!B19+Drivers!B20),MIN(1,0.5+0.5*(A211-(Drivers!B19+Drivers!B20))/Drivers!B39),0)</f>
        <v>1</v>
      </c>
      <c r="L211" s="14">
        <f>Drivers!B2*(B211-B210)*Drivers!B24*(1+Drivers!B22)^(A211/12)*Drivers!B25*K211</f>
        <v>1657255.43</v>
      </c>
      <c r="M211" s="14">
        <f>L211*Drivers!B26</f>
        <v>331451.0861</v>
      </c>
      <c r="N211" s="14">
        <f>(L211+M211)*Drivers!B27</f>
        <v>696047.2808</v>
      </c>
      <c r="O211" s="14">
        <f>IF(A211&gt;(Drivers!B19+Drivers!B20),Drivers!B28/12*(1+Drivers!B23)^(A211/12),0)</f>
        <v>659998.1802</v>
      </c>
      <c r="P211" s="14">
        <f>(L211+M211)*Drivers!B29</f>
        <v>79548.26066</v>
      </c>
      <c r="Q211" s="14">
        <f>Drivers!B3*Drivers!B30*(1+Drivers!B22)^(A211/12)*Drivers!B31*(1-Drivers!B32 )*K211</f>
        <v>126224.652</v>
      </c>
      <c r="R211" s="14">
        <f>IF(A211&gt;(Drivers!B19+Drivers!B20),Drivers!B33/12*(1+Drivers!B23)^(A211/12),0)</f>
        <v>98999.72703</v>
      </c>
      <c r="S211" s="14">
        <f t="shared" si="2"/>
        <v>580337.7198</v>
      </c>
      <c r="T211" s="14">
        <f t="shared" si="6"/>
        <v>3370375.689</v>
      </c>
      <c r="U211" s="14">
        <f>IF(AND(A211&gt;Drivers!B19,A211&lt;=(Drivers!B19+Drivers!B20)),Summary!B31*D211,0)</f>
        <v>0</v>
      </c>
      <c r="V211" s="14">
        <f>IF(A211&lt;=(Drivers!B19+Drivers!B20),(T211+U211/2)*Drivers!B36/12,T211*Drivers!B36/12)</f>
        <v>32299.43368</v>
      </c>
      <c r="W211" s="14">
        <f>IF(A211&gt;(Drivers!B19+Drivers!B20),MIN(T211,MAX(0,Summary!B32/12-V211)),0)</f>
        <v>226102.4207</v>
      </c>
      <c r="X211" s="14">
        <f>IF(A211=(Drivers!B19+1),Summary!B31*Drivers!B38,0)</f>
        <v>0</v>
      </c>
      <c r="Y211" s="14">
        <f t="shared" si="3"/>
        <v>3144273.268</v>
      </c>
      <c r="Z211" s="14">
        <f t="shared" si="4"/>
        <v>321935.8654</v>
      </c>
      <c r="AA211" s="14">
        <f t="shared" si="7"/>
        <v>-117625338.3</v>
      </c>
      <c r="AB211" s="14">
        <f t="shared" si="5"/>
        <v>580337.7198</v>
      </c>
      <c r="AC211" s="14">
        <f>(E211+F211+G211+H211)*Drivers!B45</f>
        <v>0</v>
      </c>
      <c r="AD211" s="14">
        <f>IF(A211&lt;=Summary!B18,AB211+IF(A211=Summary!B18,Summary!B40,0),0)</f>
        <v>0</v>
      </c>
      <c r="AE211" s="14">
        <f>IF(A211&lt;=Summary!B18,Z211+IF(A211=Summary!B18,Summary!B40-Y211,0),0)</f>
        <v>0</v>
      </c>
      <c r="AF211" s="14">
        <f>AD211-IF(A211=0,Drivers!B44,0)</f>
        <v>0</v>
      </c>
      <c r="AG211" s="14">
        <f t="shared" si="8"/>
        <v>-94352445.39</v>
      </c>
    </row>
    <row r="212">
      <c r="A212" s="2">
        <v>210.0</v>
      </c>
      <c r="B212" s="15">
        <f>EDATE(Setup!B2,A212)</f>
        <v>52670</v>
      </c>
      <c r="C212" s="2" t="str">
        <f>IF(A212=0,"T0",IF(A212&lt;=Drivers!B19,"Preconstruction",IF(A212&lt;=(Drivers!B19+Drivers!B20),"Construction","Trading")))</f>
        <v>Trading</v>
      </c>
      <c r="D212" s="12">
        <f t="array" ref="D212">IF(AND(A212&gt;Drivers!B19,A212&lt;=(Drivers!B19+Drivers!B20)),SIN(PI()*(A212-Drivers!B19-0.5)/Drivers!B20)/SUMPRODUCT(SIN(PI()*(SEQUENCE(Drivers!B20,1)-0.5)/Drivers!B20)),0)</f>
        <v>0</v>
      </c>
      <c r="E212" s="14">
        <f>(Summary!B10+Summary!B12)*D212*(1+Drivers!B21)^(A212/12)</f>
        <v>0</v>
      </c>
      <c r="F212" s="14">
        <f>IF(AND(A212&gt;0,A212&lt;=Drivers!B19),Summary!B11*Drivers!B40/Drivers!B19*(1+Drivers!B21)^(A212/12),Summary!B11*(1-Drivers!B40 )*D212*(1+Drivers!B21)^(A212/12))</f>
        <v>0</v>
      </c>
      <c r="G212" s="14">
        <f>IF(AND(A212&gt;0,A212&lt;=2),Drivers!B16/2,0)</f>
        <v>0</v>
      </c>
      <c r="H212" s="14">
        <f>IF(A212=(Drivers!B19+Drivers!B20),Drivers!B17*(1+Drivers!B21)^(A212/12),0)</f>
        <v>0</v>
      </c>
      <c r="I212" s="14">
        <f>IF(AND(A212&gt;0,A212&lt;=(Drivers!B19+Drivers!B20)),Drivers!B18*(1+Drivers!B23)^(A212/12),0)</f>
        <v>0</v>
      </c>
      <c r="J212" s="14">
        <f t="shared" si="1"/>
        <v>0</v>
      </c>
      <c r="K212" s="12">
        <f>IF(A212&gt;(Drivers!B19+Drivers!B20),MIN(1,0.5+0.5*(A212-(Drivers!B19+Drivers!B20))/Drivers!B39),0)</f>
        <v>1</v>
      </c>
      <c r="L212" s="14">
        <f>Drivers!B2*(B212-B211)*Drivers!B24*(1+Drivers!B22)^(A212/12)*Drivers!B25*K212</f>
        <v>1555411.121</v>
      </c>
      <c r="M212" s="14">
        <f>L212*Drivers!B26</f>
        <v>311082.2242</v>
      </c>
      <c r="N212" s="14">
        <f>(L212+M212)*Drivers!B27</f>
        <v>653272.6708</v>
      </c>
      <c r="O212" s="14">
        <f>IF(A212&gt;(Drivers!B19+Drivers!B20),Drivers!B28/12*(1+Drivers!B23)^(A212/12),0)</f>
        <v>662158.8425</v>
      </c>
      <c r="P212" s="14">
        <f>(L212+M212)*Drivers!B29</f>
        <v>74659.73381</v>
      </c>
      <c r="Q212" s="14">
        <f>Drivers!B3*Drivers!B30*(1+Drivers!B22)^(A212/12)*Drivers!B31*(1-Drivers!B32 )*K212</f>
        <v>126637.8786</v>
      </c>
      <c r="R212" s="14">
        <f>IF(A212&gt;(Drivers!B19+Drivers!B20),Drivers!B33/12*(1+Drivers!B23)^(A212/12),0)</f>
        <v>99323.82637</v>
      </c>
      <c r="S212" s="14">
        <f t="shared" si="2"/>
        <v>503716.1503</v>
      </c>
      <c r="T212" s="14">
        <f t="shared" si="6"/>
        <v>3144273.268</v>
      </c>
      <c r="U212" s="14">
        <f>IF(AND(A212&gt;Drivers!B19,A212&lt;=(Drivers!B19+Drivers!B20)),Summary!B31*D212,0)</f>
        <v>0</v>
      </c>
      <c r="V212" s="14">
        <f>IF(A212&lt;=(Drivers!B19+Drivers!B20),(T212+U212/2)*Drivers!B36/12,T212*Drivers!B36/12)</f>
        <v>30132.61882</v>
      </c>
      <c r="W212" s="14">
        <f>IF(A212&gt;(Drivers!B19+Drivers!B20),MIN(T212,MAX(0,Summary!B32/12-V212)),0)</f>
        <v>228269.2356</v>
      </c>
      <c r="X212" s="14">
        <f>IF(A212=(Drivers!B19+1),Summary!B31*Drivers!B38,0)</f>
        <v>0</v>
      </c>
      <c r="Y212" s="14">
        <f t="shared" si="3"/>
        <v>2916004.033</v>
      </c>
      <c r="Z212" s="14">
        <f t="shared" si="4"/>
        <v>245314.2959</v>
      </c>
      <c r="AA212" s="14">
        <f t="shared" si="7"/>
        <v>-117380024</v>
      </c>
      <c r="AB212" s="14">
        <f t="shared" si="5"/>
        <v>503716.1503</v>
      </c>
      <c r="AC212" s="14">
        <f>(E212+F212+G212+H212)*Drivers!B45</f>
        <v>0</v>
      </c>
      <c r="AD212" s="14">
        <f>IF(A212&lt;=Summary!B18,AB212+IF(A212=Summary!B18,Summary!B40,0),0)</f>
        <v>0</v>
      </c>
      <c r="AE212" s="14">
        <f>IF(A212&lt;=Summary!B18,Z212+IF(A212=Summary!B18,Summary!B40-Y212,0),0)</f>
        <v>0</v>
      </c>
      <c r="AF212" s="14">
        <f>AD212-IF(A212=0,Drivers!B44,0)</f>
        <v>0</v>
      </c>
      <c r="AG212" s="14">
        <f t="shared" si="8"/>
        <v>-93848729.24</v>
      </c>
    </row>
    <row r="213">
      <c r="A213" s="2">
        <v>211.0</v>
      </c>
      <c r="B213" s="15">
        <f>EDATE(Setup!B2,A213)</f>
        <v>52701</v>
      </c>
      <c r="C213" s="2" t="str">
        <f>IF(A213=0,"T0",IF(A213&lt;=Drivers!B19,"Preconstruction",IF(A213&lt;=(Drivers!B19+Drivers!B20),"Construction","Trading")))</f>
        <v>Trading</v>
      </c>
      <c r="D213" s="12">
        <f t="array" ref="D213">IF(AND(A213&gt;Drivers!B19,A213&lt;=(Drivers!B19+Drivers!B20)),SIN(PI()*(A213-Drivers!B19-0.5)/Drivers!B20)/SUMPRODUCT(SIN(PI()*(SEQUENCE(Drivers!B20,1)-0.5)/Drivers!B20)),0)</f>
        <v>0</v>
      </c>
      <c r="E213" s="14">
        <f>(Summary!B10+Summary!B12)*D213*(1+Drivers!B21)^(A213/12)</f>
        <v>0</v>
      </c>
      <c r="F213" s="14">
        <f>IF(AND(A213&gt;0,A213&lt;=Drivers!B19),Summary!B11*Drivers!B40/Drivers!B19*(1+Drivers!B21)^(A213/12),Summary!B11*(1-Drivers!B40 )*D213*(1+Drivers!B21)^(A213/12))</f>
        <v>0</v>
      </c>
      <c r="G213" s="14">
        <f>IF(AND(A213&gt;0,A213&lt;=2),Drivers!B16/2,0)</f>
        <v>0</v>
      </c>
      <c r="H213" s="14">
        <f>IF(A213=(Drivers!B19+Drivers!B20),Drivers!B17*(1+Drivers!B21)^(A213/12),0)</f>
        <v>0</v>
      </c>
      <c r="I213" s="14">
        <f>IF(AND(A213&gt;0,A213&lt;=(Drivers!B19+Drivers!B20)),Drivers!B18*(1+Drivers!B23)^(A213/12),0)</f>
        <v>0</v>
      </c>
      <c r="J213" s="14">
        <f t="shared" si="1"/>
        <v>0</v>
      </c>
      <c r="K213" s="12">
        <f>IF(A213&gt;(Drivers!B19+Drivers!B20),MIN(1,0.5+0.5*(A213-(Drivers!B19+Drivers!B20))/Drivers!B39),0)</f>
        <v>1</v>
      </c>
      <c r="L213" s="14">
        <f>Drivers!B2*(B213-B212)*Drivers!B24*(1+Drivers!B22)^(A213/12)*Drivers!B25*K213</f>
        <v>1668124.038</v>
      </c>
      <c r="M213" s="14">
        <f>L213*Drivers!B26</f>
        <v>333624.8076</v>
      </c>
      <c r="N213" s="14">
        <f>(L213+M213)*Drivers!B27</f>
        <v>700612.0959</v>
      </c>
      <c r="O213" s="14">
        <f>IF(A213&gt;(Drivers!B19+Drivers!B20),Drivers!B28/12*(1+Drivers!B23)^(A213/12),0)</f>
        <v>664326.5782</v>
      </c>
      <c r="P213" s="14">
        <f>(L213+M213)*Drivers!B29</f>
        <v>80069.95382</v>
      </c>
      <c r="Q213" s="14">
        <f>Drivers!B3*Drivers!B30*(1+Drivers!B22)^(A213/12)*Drivers!B31*(1-Drivers!B32 )*K213</f>
        <v>127052.4581</v>
      </c>
      <c r="R213" s="14">
        <f>IF(A213&gt;(Drivers!B19+Drivers!B20),Drivers!B33/12*(1+Drivers!B23)^(A213/12),0)</f>
        <v>99648.98674</v>
      </c>
      <c r="S213" s="14">
        <f t="shared" si="2"/>
        <v>584143.6889</v>
      </c>
      <c r="T213" s="14">
        <f t="shared" si="6"/>
        <v>2916004.033</v>
      </c>
      <c r="U213" s="14">
        <f>IF(AND(A213&gt;Drivers!B19,A213&lt;=(Drivers!B19+Drivers!B20)),Summary!B31*D213,0)</f>
        <v>0</v>
      </c>
      <c r="V213" s="14">
        <f>IF(A213&lt;=(Drivers!B19+Drivers!B20),(T213+U213/2)*Drivers!B36/12,T213*Drivers!B36/12)</f>
        <v>27945.03865</v>
      </c>
      <c r="W213" s="14">
        <f>IF(A213&gt;(Drivers!B19+Drivers!B20),MIN(T213,MAX(0,Summary!B32/12-V213)),0)</f>
        <v>230456.8158</v>
      </c>
      <c r="X213" s="14">
        <f>IF(A213=(Drivers!B19+1),Summary!B31*Drivers!B38,0)</f>
        <v>0</v>
      </c>
      <c r="Y213" s="14">
        <f t="shared" si="3"/>
        <v>2685547.217</v>
      </c>
      <c r="Z213" s="14">
        <f t="shared" si="4"/>
        <v>325741.8345</v>
      </c>
      <c r="AA213" s="14">
        <f t="shared" si="7"/>
        <v>-117054282.2</v>
      </c>
      <c r="AB213" s="14">
        <f t="shared" si="5"/>
        <v>584143.6889</v>
      </c>
      <c r="AC213" s="14">
        <f>(E213+F213+G213+H213)*Drivers!B45</f>
        <v>0</v>
      </c>
      <c r="AD213" s="14">
        <f>IF(A213&lt;=Summary!B18,AB213+IF(A213=Summary!B18,Summary!B40,0),0)</f>
        <v>0</v>
      </c>
      <c r="AE213" s="14">
        <f>IF(A213&lt;=Summary!B18,Z213+IF(A213=Summary!B18,Summary!B40-Y213,0),0)</f>
        <v>0</v>
      </c>
      <c r="AF213" s="14">
        <f>AD213-IF(A213=0,Drivers!B44,0)</f>
        <v>0</v>
      </c>
      <c r="AG213" s="14">
        <f t="shared" si="8"/>
        <v>-93264585.56</v>
      </c>
    </row>
    <row r="214">
      <c r="A214" s="2">
        <v>212.0</v>
      </c>
      <c r="B214" s="15">
        <f>EDATE(Setup!B2,A214)</f>
        <v>52731</v>
      </c>
      <c r="C214" s="2" t="str">
        <f>IF(A214=0,"T0",IF(A214&lt;=Drivers!B19,"Preconstruction",IF(A214&lt;=(Drivers!B19+Drivers!B20),"Construction","Trading")))</f>
        <v>Trading</v>
      </c>
      <c r="D214" s="12">
        <f t="array" ref="D214">IF(AND(A214&gt;Drivers!B19,A214&lt;=(Drivers!B19+Drivers!B20)),SIN(PI()*(A214-Drivers!B19-0.5)/Drivers!B20)/SUMPRODUCT(SIN(PI()*(SEQUENCE(Drivers!B20,1)-0.5)/Drivers!B20)),0)</f>
        <v>0</v>
      </c>
      <c r="E214" s="14">
        <f>(Summary!B10+Summary!B12)*D214*(1+Drivers!B21)^(A214/12)</f>
        <v>0</v>
      </c>
      <c r="F214" s="14">
        <f>IF(AND(A214&gt;0,A214&lt;=Drivers!B19),Summary!B11*Drivers!B40/Drivers!B19*(1+Drivers!B21)^(A214/12),Summary!B11*(1-Drivers!B40 )*D214*(1+Drivers!B21)^(A214/12))</f>
        <v>0</v>
      </c>
      <c r="G214" s="14">
        <f>IF(AND(A214&gt;0,A214&lt;=2),Drivers!B16/2,0)</f>
        <v>0</v>
      </c>
      <c r="H214" s="14">
        <f>IF(A214=(Drivers!B19+Drivers!B20),Drivers!B17*(1+Drivers!B21)^(A214/12),0)</f>
        <v>0</v>
      </c>
      <c r="I214" s="14">
        <f>IF(AND(A214&gt;0,A214&lt;=(Drivers!B19+Drivers!B20)),Drivers!B18*(1+Drivers!B23)^(A214/12),0)</f>
        <v>0</v>
      </c>
      <c r="J214" s="14">
        <f t="shared" si="1"/>
        <v>0</v>
      </c>
      <c r="K214" s="12">
        <f>IF(A214&gt;(Drivers!B19+Drivers!B20),MIN(1,0.5+0.5*(A214-(Drivers!B19+Drivers!B20))/Drivers!B39),0)</f>
        <v>1</v>
      </c>
      <c r="L214" s="14">
        <f>Drivers!B2*(B214-B213)*Drivers!B24*(1+Drivers!B22)^(A214/12)*Drivers!B25*K214</f>
        <v>1619598.428</v>
      </c>
      <c r="M214" s="14">
        <f>L214*Drivers!B26</f>
        <v>323919.6855</v>
      </c>
      <c r="N214" s="14">
        <f>(L214+M214)*Drivers!B27</f>
        <v>680231.3396</v>
      </c>
      <c r="O214" s="14">
        <f>IF(A214&gt;(Drivers!B19+Drivers!B20),Drivers!B28/12*(1+Drivers!B23)^(A214/12),0)</f>
        <v>666501.4106</v>
      </c>
      <c r="P214" s="14">
        <f>(L214+M214)*Drivers!B29</f>
        <v>77740.72453</v>
      </c>
      <c r="Q214" s="14">
        <f>Drivers!B3*Drivers!B30*(1+Drivers!B22)^(A214/12)*Drivers!B31*(1-Drivers!B32 )*K214</f>
        <v>127468.3948</v>
      </c>
      <c r="R214" s="14">
        <f>IF(A214&gt;(Drivers!B19+Drivers!B20),Drivers!B33/12*(1+Drivers!B23)^(A214/12),0)</f>
        <v>99975.21159</v>
      </c>
      <c r="S214" s="14">
        <f t="shared" si="2"/>
        <v>546537.8217</v>
      </c>
      <c r="T214" s="14">
        <f t="shared" si="6"/>
        <v>2685547.217</v>
      </c>
      <c r="U214" s="14">
        <f>IF(AND(A214&gt;Drivers!B19,A214&lt;=(Drivers!B19+Drivers!B20)),Summary!B31*D214,0)</f>
        <v>0</v>
      </c>
      <c r="V214" s="14">
        <f>IF(A214&lt;=(Drivers!B19+Drivers!B20),(T214+U214/2)*Drivers!B36/12,T214*Drivers!B36/12)</f>
        <v>25736.49416</v>
      </c>
      <c r="W214" s="14">
        <f>IF(A214&gt;(Drivers!B19+Drivers!B20),MIN(T214,MAX(0,Summary!B32/12-V214)),0)</f>
        <v>232665.3603</v>
      </c>
      <c r="X214" s="14">
        <f>IF(A214=(Drivers!B19+1),Summary!B31*Drivers!B38,0)</f>
        <v>0</v>
      </c>
      <c r="Y214" s="14">
        <f t="shared" si="3"/>
        <v>2452881.857</v>
      </c>
      <c r="Z214" s="14">
        <f t="shared" si="4"/>
        <v>288135.9673</v>
      </c>
      <c r="AA214" s="14">
        <f t="shared" si="7"/>
        <v>-116766146.2</v>
      </c>
      <c r="AB214" s="14">
        <f t="shared" si="5"/>
        <v>546537.8217</v>
      </c>
      <c r="AC214" s="14">
        <f>(E214+F214+G214+H214)*Drivers!B45</f>
        <v>0</v>
      </c>
      <c r="AD214" s="14">
        <f>IF(A214&lt;=Summary!B18,AB214+IF(A214=Summary!B18,Summary!B40,0),0)</f>
        <v>0</v>
      </c>
      <c r="AE214" s="14">
        <f>IF(A214&lt;=Summary!B18,Z214+IF(A214=Summary!B18,Summary!B40-Y214,0),0)</f>
        <v>0</v>
      </c>
      <c r="AF214" s="14">
        <f>AD214-IF(A214=0,Drivers!B44,0)</f>
        <v>0</v>
      </c>
      <c r="AG214" s="14">
        <f t="shared" si="8"/>
        <v>-92718047.73</v>
      </c>
    </row>
    <row r="215">
      <c r="A215" s="2">
        <v>213.0</v>
      </c>
      <c r="B215" s="15">
        <f>EDATE(Setup!B2,A215)</f>
        <v>52762</v>
      </c>
      <c r="C215" s="2" t="str">
        <f>IF(A215=0,"T0",IF(A215&lt;=Drivers!B19,"Preconstruction",IF(A215&lt;=(Drivers!B19+Drivers!B20),"Construction","Trading")))</f>
        <v>Trading</v>
      </c>
      <c r="D215" s="12">
        <f t="array" ref="D215">IF(AND(A215&gt;Drivers!B19,A215&lt;=(Drivers!B19+Drivers!B20)),SIN(PI()*(A215-Drivers!B19-0.5)/Drivers!B20)/SUMPRODUCT(SIN(PI()*(SEQUENCE(Drivers!B20,1)-0.5)/Drivers!B20)),0)</f>
        <v>0</v>
      </c>
      <c r="E215" s="14">
        <f>(Summary!B10+Summary!B12)*D215*(1+Drivers!B21)^(A215/12)</f>
        <v>0</v>
      </c>
      <c r="F215" s="14">
        <f>IF(AND(A215&gt;0,A215&lt;=Drivers!B19),Summary!B11*Drivers!B40/Drivers!B19*(1+Drivers!B21)^(A215/12),Summary!B11*(1-Drivers!B40 )*D215*(1+Drivers!B21)^(A215/12))</f>
        <v>0</v>
      </c>
      <c r="G215" s="14">
        <f>IF(AND(A215&gt;0,A215&lt;=2),Drivers!B16/2,0)</f>
        <v>0</v>
      </c>
      <c r="H215" s="14">
        <f>IF(A215=(Drivers!B19+Drivers!B20),Drivers!B17*(1+Drivers!B21)^(A215/12),0)</f>
        <v>0</v>
      </c>
      <c r="I215" s="14">
        <f>IF(AND(A215&gt;0,A215&lt;=(Drivers!B19+Drivers!B20)),Drivers!B18*(1+Drivers!B23)^(A215/12),0)</f>
        <v>0</v>
      </c>
      <c r="J215" s="14">
        <f t="shared" si="1"/>
        <v>0</v>
      </c>
      <c r="K215" s="12">
        <f>IF(A215&gt;(Drivers!B19+Drivers!B20),MIN(1,0.5+0.5*(A215-(Drivers!B19+Drivers!B20))/Drivers!B39),0)</f>
        <v>1</v>
      </c>
      <c r="L215" s="14">
        <f>Drivers!B2*(B215-B214)*Drivers!B24*(1+Drivers!B22)^(A215/12)*Drivers!B25*K215</f>
        <v>1679063.924</v>
      </c>
      <c r="M215" s="14">
        <f>L215*Drivers!B26</f>
        <v>335812.7848</v>
      </c>
      <c r="N215" s="14">
        <f>(L215+M215)*Drivers!B27</f>
        <v>705206.848</v>
      </c>
      <c r="O215" s="14">
        <f>IF(A215&gt;(Drivers!B19+Drivers!B20),Drivers!B28/12*(1+Drivers!B23)^(A215/12),0)</f>
        <v>668683.3628</v>
      </c>
      <c r="P215" s="14">
        <f>(L215+M215)*Drivers!B29</f>
        <v>80595.06835</v>
      </c>
      <c r="Q215" s="14">
        <f>Drivers!B3*Drivers!B30*(1+Drivers!B22)^(A215/12)*Drivers!B31*(1-Drivers!B32 )*K215</f>
        <v>127885.6931</v>
      </c>
      <c r="R215" s="14">
        <f>IF(A215&gt;(Drivers!B19+Drivers!B20),Drivers!B33/12*(1+Drivers!B23)^(A215/12),0)</f>
        <v>100302.5044</v>
      </c>
      <c r="S215" s="14">
        <f t="shared" si="2"/>
        <v>587974.6182</v>
      </c>
      <c r="T215" s="14">
        <f t="shared" si="6"/>
        <v>2452881.857</v>
      </c>
      <c r="U215" s="14">
        <f>IF(AND(A215&gt;Drivers!B19,A215&lt;=(Drivers!B19+Drivers!B20)),Summary!B31*D215,0)</f>
        <v>0</v>
      </c>
      <c r="V215" s="14">
        <f>IF(A215&lt;=(Drivers!B19+Drivers!B20),(T215+U215/2)*Drivers!B36/12,T215*Drivers!B36/12)</f>
        <v>23506.78446</v>
      </c>
      <c r="W215" s="14">
        <f>IF(A215&gt;(Drivers!B19+Drivers!B20),MIN(T215,MAX(0,Summary!B32/12-V215)),0)</f>
        <v>234895.07</v>
      </c>
      <c r="X215" s="14">
        <f>IF(A215=(Drivers!B19+1),Summary!B31*Drivers!B38,0)</f>
        <v>0</v>
      </c>
      <c r="Y215" s="14">
        <f t="shared" si="3"/>
        <v>2217986.787</v>
      </c>
      <c r="Z215" s="14">
        <f t="shared" si="4"/>
        <v>329572.7638</v>
      </c>
      <c r="AA215" s="14">
        <f t="shared" si="7"/>
        <v>-116436573.4</v>
      </c>
      <c r="AB215" s="14">
        <f t="shared" si="5"/>
        <v>587974.6182</v>
      </c>
      <c r="AC215" s="14">
        <f>(E215+F215+G215+H215)*Drivers!B45</f>
        <v>0</v>
      </c>
      <c r="AD215" s="14">
        <f>IF(A215&lt;=Summary!B18,AB215+IF(A215=Summary!B18,Summary!B40,0),0)</f>
        <v>0</v>
      </c>
      <c r="AE215" s="14">
        <f>IF(A215&lt;=Summary!B18,Z215+IF(A215=Summary!B18,Summary!B40-Y215,0),0)</f>
        <v>0</v>
      </c>
      <c r="AF215" s="14">
        <f>AD215-IF(A215=0,Drivers!B44,0)</f>
        <v>0</v>
      </c>
      <c r="AG215" s="14">
        <f t="shared" si="8"/>
        <v>-92130073.12</v>
      </c>
    </row>
    <row r="216">
      <c r="A216" s="2">
        <v>214.0</v>
      </c>
      <c r="B216" s="15">
        <f>EDATE(Setup!B2,A216)</f>
        <v>52792</v>
      </c>
      <c r="C216" s="2" t="str">
        <f>IF(A216=0,"T0",IF(A216&lt;=Drivers!B19,"Preconstruction",IF(A216&lt;=(Drivers!B19+Drivers!B20),"Construction","Trading")))</f>
        <v>Trading</v>
      </c>
      <c r="D216" s="12">
        <f t="array" ref="D216">IF(AND(A216&gt;Drivers!B19,A216&lt;=(Drivers!B19+Drivers!B20)),SIN(PI()*(A216-Drivers!B19-0.5)/Drivers!B20)/SUMPRODUCT(SIN(PI()*(SEQUENCE(Drivers!B20,1)-0.5)/Drivers!B20)),0)</f>
        <v>0</v>
      </c>
      <c r="E216" s="14">
        <f>(Summary!B10+Summary!B12)*D216*(1+Drivers!B21)^(A216/12)</f>
        <v>0</v>
      </c>
      <c r="F216" s="14">
        <f>IF(AND(A216&gt;0,A216&lt;=Drivers!B19),Summary!B11*Drivers!B40/Drivers!B19*(1+Drivers!B21)^(A216/12),Summary!B11*(1-Drivers!B40 )*D216*(1+Drivers!B21)^(A216/12))</f>
        <v>0</v>
      </c>
      <c r="G216" s="14">
        <f>IF(AND(A216&gt;0,A216&lt;=2),Drivers!B16/2,0)</f>
        <v>0</v>
      </c>
      <c r="H216" s="14">
        <f>IF(A216=(Drivers!B19+Drivers!B20),Drivers!B17*(1+Drivers!B21)^(A216/12),0)</f>
        <v>0</v>
      </c>
      <c r="I216" s="14">
        <f>IF(AND(A216&gt;0,A216&lt;=(Drivers!B19+Drivers!B20)),Drivers!B18*(1+Drivers!B23)^(A216/12),0)</f>
        <v>0</v>
      </c>
      <c r="J216" s="14">
        <f t="shared" si="1"/>
        <v>0</v>
      </c>
      <c r="K216" s="12">
        <f>IF(A216&gt;(Drivers!B19+Drivers!B20),MIN(1,0.5+0.5*(A216-(Drivers!B19+Drivers!B20))/Drivers!B39),0)</f>
        <v>1</v>
      </c>
      <c r="L216" s="14">
        <f>Drivers!B2*(B216-B215)*Drivers!B24*(1+Drivers!B22)^(A216/12)*Drivers!B25*K216</f>
        <v>1630220.073</v>
      </c>
      <c r="M216" s="14">
        <f>L216*Drivers!B26</f>
        <v>326044.0146</v>
      </c>
      <c r="N216" s="14">
        <f>(L216+M216)*Drivers!B27</f>
        <v>684692.4307</v>
      </c>
      <c r="O216" s="14">
        <f>IF(A216&gt;(Drivers!B19+Drivers!B20),Drivers!B28/12*(1+Drivers!B23)^(A216/12),0)</f>
        <v>670872.4581</v>
      </c>
      <c r="P216" s="14">
        <f>(L216+M216)*Drivers!B29</f>
        <v>78250.56351</v>
      </c>
      <c r="Q216" s="14">
        <f>Drivers!B3*Drivers!B30*(1+Drivers!B22)^(A216/12)*Drivers!B31*(1-Drivers!B32 )*K216</f>
        <v>128304.3576</v>
      </c>
      <c r="R216" s="14">
        <f>IF(A216&gt;(Drivers!B19+Drivers!B20),Drivers!B33/12*(1+Drivers!B23)^(A216/12),0)</f>
        <v>100630.8687</v>
      </c>
      <c r="S216" s="14">
        <f t="shared" si="2"/>
        <v>550122.1244</v>
      </c>
      <c r="T216" s="14">
        <f t="shared" si="6"/>
        <v>2217986.787</v>
      </c>
      <c r="U216" s="14">
        <f>IF(AND(A216&gt;Drivers!B19,A216&lt;=(Drivers!B19+Drivers!B20)),Summary!B31*D216,0)</f>
        <v>0</v>
      </c>
      <c r="V216" s="14">
        <f>IF(A216&lt;=(Drivers!B19+Drivers!B20),(T216+U216/2)*Drivers!B36/12,T216*Drivers!B36/12)</f>
        <v>21255.7067</v>
      </c>
      <c r="W216" s="14">
        <f>IF(A216&gt;(Drivers!B19+Drivers!B20),MIN(T216,MAX(0,Summary!B32/12-V216)),0)</f>
        <v>237146.1477</v>
      </c>
      <c r="X216" s="14">
        <f>IF(A216=(Drivers!B19+1),Summary!B31*Drivers!B38,0)</f>
        <v>0</v>
      </c>
      <c r="Y216" s="14">
        <f t="shared" si="3"/>
        <v>1980840.639</v>
      </c>
      <c r="Z216" s="14">
        <f t="shared" si="4"/>
        <v>291720.2699</v>
      </c>
      <c r="AA216" s="14">
        <f t="shared" si="7"/>
        <v>-116144853.2</v>
      </c>
      <c r="AB216" s="14">
        <f t="shared" si="5"/>
        <v>550122.1244</v>
      </c>
      <c r="AC216" s="14">
        <f>(E216+F216+G216+H216)*Drivers!B45</f>
        <v>0</v>
      </c>
      <c r="AD216" s="14">
        <f>IF(A216&lt;=Summary!B18,AB216+IF(A216=Summary!B18,Summary!B40,0),0)</f>
        <v>0</v>
      </c>
      <c r="AE216" s="14">
        <f>IF(A216&lt;=Summary!B18,Z216+IF(A216=Summary!B18,Summary!B40-Y216,0),0)</f>
        <v>0</v>
      </c>
      <c r="AF216" s="14">
        <f>AD216-IF(A216=0,Drivers!B44,0)</f>
        <v>0</v>
      </c>
      <c r="AG216" s="14">
        <f t="shared" si="8"/>
        <v>-91579950.99</v>
      </c>
    </row>
    <row r="217">
      <c r="A217" s="2">
        <v>215.0</v>
      </c>
      <c r="B217" s="15">
        <f>EDATE(Setup!B2,A217)</f>
        <v>52823</v>
      </c>
      <c r="C217" s="2" t="str">
        <f>IF(A217=0,"T0",IF(A217&lt;=Drivers!B19,"Preconstruction",IF(A217&lt;=(Drivers!B19+Drivers!B20),"Construction","Trading")))</f>
        <v>Trading</v>
      </c>
      <c r="D217" s="12">
        <f t="array" ref="D217">IF(AND(A217&gt;Drivers!B19,A217&lt;=(Drivers!B19+Drivers!B20)),SIN(PI()*(A217-Drivers!B19-0.5)/Drivers!B20)/SUMPRODUCT(SIN(PI()*(SEQUENCE(Drivers!B20,1)-0.5)/Drivers!B20)),0)</f>
        <v>0</v>
      </c>
      <c r="E217" s="14">
        <f>(Summary!B10+Summary!B12)*D217*(1+Drivers!B21)^(A217/12)</f>
        <v>0</v>
      </c>
      <c r="F217" s="14">
        <f>IF(AND(A217&gt;0,A217&lt;=Drivers!B19),Summary!B11*Drivers!B40/Drivers!B19*(1+Drivers!B21)^(A217/12),Summary!B11*(1-Drivers!B40 )*D217*(1+Drivers!B21)^(A217/12))</f>
        <v>0</v>
      </c>
      <c r="G217" s="14">
        <f>IF(AND(A217&gt;0,A217&lt;=2),Drivers!B16/2,0)</f>
        <v>0</v>
      </c>
      <c r="H217" s="14">
        <f>IF(A217=(Drivers!B19+Drivers!B20),Drivers!B17*(1+Drivers!B21)^(A217/12),0)</f>
        <v>0</v>
      </c>
      <c r="I217" s="14">
        <f>IF(AND(A217&gt;0,A217&lt;=(Drivers!B19+Drivers!B20)),Drivers!B18*(1+Drivers!B23)^(A217/12),0)</f>
        <v>0</v>
      </c>
      <c r="J217" s="14">
        <f t="shared" si="1"/>
        <v>0</v>
      </c>
      <c r="K217" s="12">
        <f>IF(A217&gt;(Drivers!B19+Drivers!B20),MIN(1,0.5+0.5*(A217-(Drivers!B19+Drivers!B20))/Drivers!B39),0)</f>
        <v>1</v>
      </c>
      <c r="L217" s="14">
        <f>Drivers!B2*(B217-B216)*Drivers!B24*(1+Drivers!B22)^(A217/12)*Drivers!B25*K217</f>
        <v>1690075.556</v>
      </c>
      <c r="M217" s="14">
        <f>L217*Drivers!B26</f>
        <v>338015.1112</v>
      </c>
      <c r="N217" s="14">
        <f>(L217+M217)*Drivers!B27</f>
        <v>709831.7334</v>
      </c>
      <c r="O217" s="14">
        <f>IF(A217&gt;(Drivers!B19+Drivers!B20),Drivers!B28/12*(1+Drivers!B23)^(A217/12),0)</f>
        <v>673068.7199</v>
      </c>
      <c r="P217" s="14">
        <f>(L217+M217)*Drivers!B29</f>
        <v>81123.62668</v>
      </c>
      <c r="Q217" s="14">
        <f>Drivers!B3*Drivers!B30*(1+Drivers!B22)^(A217/12)*Drivers!B31*(1-Drivers!B32 )*K217</f>
        <v>128724.3927</v>
      </c>
      <c r="R217" s="14">
        <f>IF(A217&gt;(Drivers!B19+Drivers!B20),Drivers!B33/12*(1+Drivers!B23)^(A217/12),0)</f>
        <v>100960.308</v>
      </c>
      <c r="S217" s="14">
        <f t="shared" si="2"/>
        <v>591830.6716</v>
      </c>
      <c r="T217" s="14">
        <f t="shared" si="6"/>
        <v>1980840.639</v>
      </c>
      <c r="U217" s="14">
        <f>IF(AND(A217&gt;Drivers!B19,A217&lt;=(Drivers!B19+Drivers!B20)),Summary!B31*D217,0)</f>
        <v>0</v>
      </c>
      <c r="V217" s="14">
        <f>IF(A217&lt;=(Drivers!B19+Drivers!B20),(T217+U217/2)*Drivers!B36/12,T217*Drivers!B36/12)</f>
        <v>18983.05612</v>
      </c>
      <c r="W217" s="14">
        <f>IF(A217&gt;(Drivers!B19+Drivers!B20),MIN(T217,MAX(0,Summary!B32/12-V217)),0)</f>
        <v>239418.7983</v>
      </c>
      <c r="X217" s="14">
        <f>IF(A217=(Drivers!B19+1),Summary!B31*Drivers!B38,0)</f>
        <v>0</v>
      </c>
      <c r="Y217" s="14">
        <f t="shared" si="3"/>
        <v>1741421.841</v>
      </c>
      <c r="Z217" s="14">
        <f t="shared" si="4"/>
        <v>333428.8172</v>
      </c>
      <c r="AA217" s="14">
        <f t="shared" si="7"/>
        <v>-115811424.3</v>
      </c>
      <c r="AB217" s="14">
        <f t="shared" si="5"/>
        <v>591830.6716</v>
      </c>
      <c r="AC217" s="14">
        <f>(E217+F217+G217+H217)*Drivers!B45</f>
        <v>0</v>
      </c>
      <c r="AD217" s="14">
        <f>IF(A217&lt;=Summary!B18,AB217+IF(A217=Summary!B18,Summary!B40,0),0)</f>
        <v>0</v>
      </c>
      <c r="AE217" s="14">
        <f>IF(A217&lt;=Summary!B18,Z217+IF(A217=Summary!B18,Summary!B40-Y217,0),0)</f>
        <v>0</v>
      </c>
      <c r="AF217" s="14">
        <f>AD217-IF(A217=0,Drivers!B44,0)</f>
        <v>0</v>
      </c>
      <c r="AG217" s="14">
        <f t="shared" si="8"/>
        <v>-90988120.32</v>
      </c>
    </row>
    <row r="218">
      <c r="A218" s="2">
        <v>216.0</v>
      </c>
      <c r="B218" s="15">
        <f>EDATE(Setup!B2,A218)</f>
        <v>52854</v>
      </c>
      <c r="C218" s="2" t="str">
        <f>IF(A218=0,"T0",IF(A218&lt;=Drivers!B19,"Preconstruction",IF(A218&lt;=(Drivers!B19+Drivers!B20),"Construction","Trading")))</f>
        <v>Trading</v>
      </c>
      <c r="D218" s="12">
        <f t="array" ref="D218">IF(AND(A218&gt;Drivers!B19,A218&lt;=(Drivers!B19+Drivers!B20)),SIN(PI()*(A218-Drivers!B19-0.5)/Drivers!B20)/SUMPRODUCT(SIN(PI()*(SEQUENCE(Drivers!B20,1)-0.5)/Drivers!B20)),0)</f>
        <v>0</v>
      </c>
      <c r="E218" s="14">
        <f>(Summary!B10+Summary!B12)*D218*(1+Drivers!B21)^(A218/12)</f>
        <v>0</v>
      </c>
      <c r="F218" s="14">
        <f>IF(AND(A218&gt;0,A218&lt;=Drivers!B19),Summary!B11*Drivers!B40/Drivers!B19*(1+Drivers!B21)^(A218/12),Summary!B11*(1-Drivers!B40 )*D218*(1+Drivers!B21)^(A218/12))</f>
        <v>0</v>
      </c>
      <c r="G218" s="14">
        <f>IF(AND(A218&gt;0,A218&lt;=2),Drivers!B16/2,0)</f>
        <v>0</v>
      </c>
      <c r="H218" s="14">
        <f>IF(A218=(Drivers!B19+Drivers!B20),Drivers!B17*(1+Drivers!B21)^(A218/12),0)</f>
        <v>0</v>
      </c>
      <c r="I218" s="14">
        <f>IF(AND(A218&gt;0,A218&lt;=(Drivers!B19+Drivers!B20)),Drivers!B18*(1+Drivers!B23)^(A218/12),0)</f>
        <v>0</v>
      </c>
      <c r="J218" s="14">
        <f t="shared" si="1"/>
        <v>0</v>
      </c>
      <c r="K218" s="12">
        <f>IF(A218&gt;(Drivers!B19+Drivers!B20),MIN(1,0.5+0.5*(A218-(Drivers!B19+Drivers!B20))/Drivers!B39),0)</f>
        <v>1</v>
      </c>
      <c r="L218" s="14">
        <f>Drivers!B2*(B218-B217)*Drivers!B24*(1+Drivers!B22)^(A218/12)*Drivers!B25*K218</f>
        <v>1695608.423</v>
      </c>
      <c r="M218" s="14">
        <f>L218*Drivers!B26</f>
        <v>339121.6847</v>
      </c>
      <c r="N218" s="14">
        <f>(L218+M218)*Drivers!B27</f>
        <v>712155.5378</v>
      </c>
      <c r="O218" s="14">
        <f>IF(A218&gt;(Drivers!B19+Drivers!B20),Drivers!B28/12*(1+Drivers!B23)^(A218/12),0)</f>
        <v>675272.1718</v>
      </c>
      <c r="P218" s="14">
        <f>(L218+M218)*Drivers!B29</f>
        <v>81389.20432</v>
      </c>
      <c r="Q218" s="14">
        <f>Drivers!B3*Drivers!B30*(1+Drivers!B22)^(A218/12)*Drivers!B31*(1-Drivers!B32 )*K218</f>
        <v>129145.8029</v>
      </c>
      <c r="R218" s="14">
        <f>IF(A218&gt;(Drivers!B19+Drivers!B20),Drivers!B33/12*(1+Drivers!B23)^(A218/12),0)</f>
        <v>101290.8258</v>
      </c>
      <c r="S218" s="14">
        <f t="shared" si="2"/>
        <v>593768.1712</v>
      </c>
      <c r="T218" s="14">
        <f t="shared" si="6"/>
        <v>1741421.841</v>
      </c>
      <c r="U218" s="14">
        <f>IF(AND(A218&gt;Drivers!B19,A218&lt;=(Drivers!B19+Drivers!B20)),Summary!B31*D218,0)</f>
        <v>0</v>
      </c>
      <c r="V218" s="14">
        <f>IF(A218&lt;=(Drivers!B19+Drivers!B20),(T218+U218/2)*Drivers!B36/12,T218*Drivers!B36/12)</f>
        <v>16688.62597</v>
      </c>
      <c r="W218" s="14">
        <f>IF(A218&gt;(Drivers!B19+Drivers!B20),MIN(T218,MAX(0,Summary!B32/12-V218)),0)</f>
        <v>241713.2284</v>
      </c>
      <c r="X218" s="14">
        <f>IF(A218=(Drivers!B19+1),Summary!B31*Drivers!B38,0)</f>
        <v>0</v>
      </c>
      <c r="Y218" s="14">
        <f t="shared" si="3"/>
        <v>1499708.612</v>
      </c>
      <c r="Z218" s="14">
        <f t="shared" si="4"/>
        <v>335366.3168</v>
      </c>
      <c r="AA218" s="14">
        <f t="shared" si="7"/>
        <v>-115476058</v>
      </c>
      <c r="AB218" s="14">
        <f t="shared" si="5"/>
        <v>593768.1712</v>
      </c>
      <c r="AC218" s="14">
        <f>(E218+F218+G218+H218)*Drivers!B45</f>
        <v>0</v>
      </c>
      <c r="AD218" s="14">
        <f>IF(A218&lt;=Summary!B18,AB218+IF(A218=Summary!B18,Summary!B40,0),0)</f>
        <v>0</v>
      </c>
      <c r="AE218" s="14">
        <f>IF(A218&lt;=Summary!B18,Z218+IF(A218=Summary!B18,Summary!B40-Y218,0),0)</f>
        <v>0</v>
      </c>
      <c r="AF218" s="14">
        <f>AD218-IF(A218=0,Drivers!B44,0)</f>
        <v>0</v>
      </c>
      <c r="AG218" s="14">
        <f t="shared" si="8"/>
        <v>-90394352.15</v>
      </c>
    </row>
    <row r="219">
      <c r="A219" s="2">
        <v>217.0</v>
      </c>
      <c r="B219" s="15">
        <f>EDATE(Setup!B2,A219)</f>
        <v>52884</v>
      </c>
      <c r="C219" s="2" t="str">
        <f>IF(A219=0,"T0",IF(A219&lt;=Drivers!B19,"Preconstruction",IF(A219&lt;=(Drivers!B19+Drivers!B20),"Construction","Trading")))</f>
        <v>Trading</v>
      </c>
      <c r="D219" s="12">
        <f t="array" ref="D219">IF(AND(A219&gt;Drivers!B19,A219&lt;=(Drivers!B19+Drivers!B20)),SIN(PI()*(A219-Drivers!B19-0.5)/Drivers!B20)/SUMPRODUCT(SIN(PI()*(SEQUENCE(Drivers!B20,1)-0.5)/Drivers!B20)),0)</f>
        <v>0</v>
      </c>
      <c r="E219" s="14">
        <f>(Summary!B10+Summary!B12)*D219*(1+Drivers!B21)^(A219/12)</f>
        <v>0</v>
      </c>
      <c r="F219" s="14">
        <f>IF(AND(A219&gt;0,A219&lt;=Drivers!B19),Summary!B11*Drivers!B40/Drivers!B19*(1+Drivers!B21)^(A219/12),Summary!B11*(1-Drivers!B40 )*D219*(1+Drivers!B21)^(A219/12))</f>
        <v>0</v>
      </c>
      <c r="G219" s="14">
        <f>IF(AND(A219&gt;0,A219&lt;=2),Drivers!B16/2,0)</f>
        <v>0</v>
      </c>
      <c r="H219" s="14">
        <f>IF(A219=(Drivers!B19+Drivers!B20),Drivers!B17*(1+Drivers!B21)^(A219/12),0)</f>
        <v>0</v>
      </c>
      <c r="I219" s="14">
        <f>IF(AND(A219&gt;0,A219&lt;=(Drivers!B19+Drivers!B20)),Drivers!B18*(1+Drivers!B23)^(A219/12),0)</f>
        <v>0</v>
      </c>
      <c r="J219" s="14">
        <f t="shared" si="1"/>
        <v>0</v>
      </c>
      <c r="K219" s="12">
        <f>IF(A219&gt;(Drivers!B19+Drivers!B20),MIN(1,0.5+0.5*(A219-(Drivers!B19+Drivers!B20))/Drivers!B39),0)</f>
        <v>1</v>
      </c>
      <c r="L219" s="14">
        <f>Drivers!B2*(B219-B218)*Drivers!B24*(1+Drivers!B22)^(A219/12)*Drivers!B25*K219</f>
        <v>1646283.294</v>
      </c>
      <c r="M219" s="14">
        <f>L219*Drivers!B26</f>
        <v>329256.6589</v>
      </c>
      <c r="N219" s="14">
        <f>(L219+M219)*Drivers!B27</f>
        <v>691438.9836</v>
      </c>
      <c r="O219" s="14">
        <f>IF(A219&gt;(Drivers!B19+Drivers!B20),Drivers!B28/12*(1+Drivers!B23)^(A219/12),0)</f>
        <v>677482.8372</v>
      </c>
      <c r="P219" s="14">
        <f>(L219+M219)*Drivers!B29</f>
        <v>79021.59813</v>
      </c>
      <c r="Q219" s="14">
        <f>Drivers!B3*Drivers!B30*(1+Drivers!B22)^(A219/12)*Drivers!B31*(1-Drivers!B32 )*K219</f>
        <v>129568.5926</v>
      </c>
      <c r="R219" s="14">
        <f>IF(A219&gt;(Drivers!B19+Drivers!B20),Drivers!B33/12*(1+Drivers!B23)^(A219/12),0)</f>
        <v>101622.4256</v>
      </c>
      <c r="S219" s="14">
        <f t="shared" si="2"/>
        <v>555542.7013</v>
      </c>
      <c r="T219" s="14">
        <f t="shared" si="6"/>
        <v>1499708.612</v>
      </c>
      <c r="U219" s="14">
        <f>IF(AND(A219&gt;Drivers!B19,A219&lt;=(Drivers!B19+Drivers!B20)),Summary!B31*D219,0)</f>
        <v>0</v>
      </c>
      <c r="V219" s="14">
        <f>IF(A219&lt;=(Drivers!B19+Drivers!B20),(T219+U219/2)*Drivers!B36/12,T219*Drivers!B36/12)</f>
        <v>14372.20753</v>
      </c>
      <c r="W219" s="14">
        <f>IF(A219&gt;(Drivers!B19+Drivers!B20),MIN(T219,MAX(0,Summary!B32/12-V219)),0)</f>
        <v>244029.6469</v>
      </c>
      <c r="X219" s="14">
        <f>IF(A219=(Drivers!B19+1),Summary!B31*Drivers!B38,0)</f>
        <v>0</v>
      </c>
      <c r="Y219" s="14">
        <f t="shared" si="3"/>
        <v>1255678.965</v>
      </c>
      <c r="Z219" s="14">
        <f t="shared" si="4"/>
        <v>297140.8469</v>
      </c>
      <c r="AA219" s="14">
        <f t="shared" si="7"/>
        <v>-115178917.2</v>
      </c>
      <c r="AB219" s="14">
        <f t="shared" si="5"/>
        <v>555542.7013</v>
      </c>
      <c r="AC219" s="14">
        <f>(E219+F219+G219+H219)*Drivers!B45</f>
        <v>0</v>
      </c>
      <c r="AD219" s="14">
        <f>IF(A219&lt;=Summary!B18,AB219+IF(A219=Summary!B18,Summary!B40,0),0)</f>
        <v>0</v>
      </c>
      <c r="AE219" s="14">
        <f>IF(A219&lt;=Summary!B18,Z219+IF(A219=Summary!B18,Summary!B40-Y219,0),0)</f>
        <v>0</v>
      </c>
      <c r="AF219" s="14">
        <f>AD219-IF(A219=0,Drivers!B44,0)</f>
        <v>0</v>
      </c>
      <c r="AG219" s="14">
        <f t="shared" si="8"/>
        <v>-89838809.45</v>
      </c>
    </row>
    <row r="220">
      <c r="A220" s="2">
        <v>218.0</v>
      </c>
      <c r="B220" s="15">
        <f>EDATE(Setup!B2,A220)</f>
        <v>52915</v>
      </c>
      <c r="C220" s="2" t="str">
        <f>IF(A220=0,"T0",IF(A220&lt;=Drivers!B19,"Preconstruction",IF(A220&lt;=(Drivers!B19+Drivers!B20),"Construction","Trading")))</f>
        <v>Trading</v>
      </c>
      <c r="D220" s="12">
        <f t="array" ref="D220">IF(AND(A220&gt;Drivers!B19,A220&lt;=(Drivers!B19+Drivers!B20)),SIN(PI()*(A220-Drivers!B19-0.5)/Drivers!B20)/SUMPRODUCT(SIN(PI()*(SEQUENCE(Drivers!B20,1)-0.5)/Drivers!B20)),0)</f>
        <v>0</v>
      </c>
      <c r="E220" s="14">
        <f>(Summary!B10+Summary!B12)*D220*(1+Drivers!B21)^(A220/12)</f>
        <v>0</v>
      </c>
      <c r="F220" s="14">
        <f>IF(AND(A220&gt;0,A220&lt;=Drivers!B19),Summary!B11*Drivers!B40/Drivers!B19*(1+Drivers!B21)^(A220/12),Summary!B11*(1-Drivers!B40 )*D220*(1+Drivers!B21)^(A220/12))</f>
        <v>0</v>
      </c>
      <c r="G220" s="14">
        <f>IF(AND(A220&gt;0,A220&lt;=2),Drivers!B16/2,0)</f>
        <v>0</v>
      </c>
      <c r="H220" s="14">
        <f>IF(A220=(Drivers!B19+Drivers!B20),Drivers!B17*(1+Drivers!B21)^(A220/12),0)</f>
        <v>0</v>
      </c>
      <c r="I220" s="14">
        <f>IF(AND(A220&gt;0,A220&lt;=(Drivers!B19+Drivers!B20)),Drivers!B18*(1+Drivers!B23)^(A220/12),0)</f>
        <v>0</v>
      </c>
      <c r="J220" s="14">
        <f t="shared" si="1"/>
        <v>0</v>
      </c>
      <c r="K220" s="12">
        <f>IF(A220&gt;(Drivers!B19+Drivers!B20),MIN(1,0.5+0.5*(A220-(Drivers!B19+Drivers!B20))/Drivers!B39),0)</f>
        <v>1</v>
      </c>
      <c r="L220" s="14">
        <f>Drivers!B2*(B220-B219)*Drivers!B24*(1+Drivers!B22)^(A220/12)*Drivers!B25*K220</f>
        <v>1706728.557</v>
      </c>
      <c r="M220" s="14">
        <f>L220*Drivers!B26</f>
        <v>341345.7115</v>
      </c>
      <c r="N220" s="14">
        <f>(L220+M220)*Drivers!B27</f>
        <v>716825.9941</v>
      </c>
      <c r="O220" s="14">
        <f>IF(A220&gt;(Drivers!B19+Drivers!B20),Drivers!B28/12*(1+Drivers!B23)^(A220/12),0)</f>
        <v>679700.7397</v>
      </c>
      <c r="P220" s="14">
        <f>(L220+M220)*Drivers!B29</f>
        <v>81922.97075</v>
      </c>
      <c r="Q220" s="14">
        <f>Drivers!B3*Drivers!B30*(1+Drivers!B22)^(A220/12)*Drivers!B31*(1-Drivers!B32 )*K220</f>
        <v>129992.7665</v>
      </c>
      <c r="R220" s="14">
        <f>IF(A220&gt;(Drivers!B19+Drivers!B20),Drivers!B33/12*(1+Drivers!B23)^(A220/12),0)</f>
        <v>101955.111</v>
      </c>
      <c r="S220" s="14">
        <f t="shared" si="2"/>
        <v>597662.2198</v>
      </c>
      <c r="T220" s="14">
        <f t="shared" si="6"/>
        <v>1255678.965</v>
      </c>
      <c r="U220" s="14">
        <f>IF(AND(A220&gt;Drivers!B19,A220&lt;=(Drivers!B19+Drivers!B20)),Summary!B31*D220,0)</f>
        <v>0</v>
      </c>
      <c r="V220" s="14">
        <f>IF(A220&lt;=(Drivers!B19+Drivers!B20),(T220+U220/2)*Drivers!B36/12,T220*Drivers!B36/12)</f>
        <v>12033.59008</v>
      </c>
      <c r="W220" s="14">
        <f>IF(A220&gt;(Drivers!B19+Drivers!B20),MIN(T220,MAX(0,Summary!B32/12-V220)),0)</f>
        <v>246368.2643</v>
      </c>
      <c r="X220" s="14">
        <f>IF(A220=(Drivers!B19+1),Summary!B31*Drivers!B38,0)</f>
        <v>0</v>
      </c>
      <c r="Y220" s="14">
        <f t="shared" si="3"/>
        <v>1009310.701</v>
      </c>
      <c r="Z220" s="14">
        <f t="shared" si="4"/>
        <v>339260.3654</v>
      </c>
      <c r="AA220" s="14">
        <f t="shared" si="7"/>
        <v>-114839656.8</v>
      </c>
      <c r="AB220" s="14">
        <f t="shared" si="5"/>
        <v>597662.2198</v>
      </c>
      <c r="AC220" s="14">
        <f>(E220+F220+G220+H220)*Drivers!B45</f>
        <v>0</v>
      </c>
      <c r="AD220" s="14">
        <f>IF(A220&lt;=Summary!B18,AB220+IF(A220=Summary!B18,Summary!B40,0),0)</f>
        <v>0</v>
      </c>
      <c r="AE220" s="14">
        <f>IF(A220&lt;=Summary!B18,Z220+IF(A220=Summary!B18,Summary!B40-Y220,0),0)</f>
        <v>0</v>
      </c>
      <c r="AF220" s="14">
        <f>AD220-IF(A220=0,Drivers!B44,0)</f>
        <v>0</v>
      </c>
      <c r="AG220" s="14">
        <f t="shared" si="8"/>
        <v>-89241147.23</v>
      </c>
    </row>
    <row r="221">
      <c r="A221" s="2">
        <v>219.0</v>
      </c>
      <c r="B221" s="15">
        <f>EDATE(Setup!B2,A221)</f>
        <v>52945</v>
      </c>
      <c r="C221" s="2" t="str">
        <f>IF(A221=0,"T0",IF(A221&lt;=Drivers!B19,"Preconstruction",IF(A221&lt;=(Drivers!B19+Drivers!B20),"Construction","Trading")))</f>
        <v>Trading</v>
      </c>
      <c r="D221" s="12">
        <f t="array" ref="D221">IF(AND(A221&gt;Drivers!B19,A221&lt;=(Drivers!B19+Drivers!B20)),SIN(PI()*(A221-Drivers!B19-0.5)/Drivers!B20)/SUMPRODUCT(SIN(PI()*(SEQUENCE(Drivers!B20,1)-0.5)/Drivers!B20)),0)</f>
        <v>0</v>
      </c>
      <c r="E221" s="14">
        <f>(Summary!B10+Summary!B12)*D221*(1+Drivers!B21)^(A221/12)</f>
        <v>0</v>
      </c>
      <c r="F221" s="14">
        <f>IF(AND(A221&gt;0,A221&lt;=Drivers!B19),Summary!B11*Drivers!B40/Drivers!B19*(1+Drivers!B21)^(A221/12),Summary!B11*(1-Drivers!B40 )*D221*(1+Drivers!B21)^(A221/12))</f>
        <v>0</v>
      </c>
      <c r="G221" s="14">
        <f>IF(AND(A221&gt;0,A221&lt;=2),Drivers!B16/2,0)</f>
        <v>0</v>
      </c>
      <c r="H221" s="14">
        <f>IF(A221=(Drivers!B19+Drivers!B20),Drivers!B17*(1+Drivers!B21)^(A221/12),0)</f>
        <v>0</v>
      </c>
      <c r="I221" s="14">
        <f>IF(AND(A221&gt;0,A221&lt;=(Drivers!B19+Drivers!B20)),Drivers!B18*(1+Drivers!B23)^(A221/12),0)</f>
        <v>0</v>
      </c>
      <c r="J221" s="14">
        <f t="shared" si="1"/>
        <v>0</v>
      </c>
      <c r="K221" s="12">
        <f>IF(A221&gt;(Drivers!B19+Drivers!B20),MIN(1,0.5+0.5*(A221-(Drivers!B19+Drivers!B20))/Drivers!B39),0)</f>
        <v>1</v>
      </c>
      <c r="L221" s="14">
        <f>Drivers!B2*(B221-B220)*Drivers!B24*(1+Drivers!B22)^(A221/12)*Drivers!B25*K221</f>
        <v>1657079.944</v>
      </c>
      <c r="M221" s="14">
        <f>L221*Drivers!B26</f>
        <v>331415.9889</v>
      </c>
      <c r="N221" s="14">
        <f>(L221+M221)*Drivers!B27</f>
        <v>695973.5766</v>
      </c>
      <c r="O221" s="14">
        <f>IF(A221&gt;(Drivers!B19+Drivers!B20),Drivers!B28/12*(1+Drivers!B23)^(A221/12),0)</f>
        <v>681925.903</v>
      </c>
      <c r="P221" s="14">
        <f>(L221+M221)*Drivers!B29</f>
        <v>79539.83733</v>
      </c>
      <c r="Q221" s="14">
        <f>Drivers!B3*Drivers!B30*(1+Drivers!B22)^(A221/12)*Drivers!B31*(1-Drivers!B32 )*K221</f>
        <v>130418.329</v>
      </c>
      <c r="R221" s="14">
        <f>IF(A221&gt;(Drivers!B19+Drivers!B20),Drivers!B33/12*(1+Drivers!B23)^(A221/12),0)</f>
        <v>102288.8855</v>
      </c>
      <c r="S221" s="14">
        <f t="shared" si="2"/>
        <v>559186.0597</v>
      </c>
      <c r="T221" s="14">
        <f t="shared" si="6"/>
        <v>1009310.701</v>
      </c>
      <c r="U221" s="14">
        <f>IF(AND(A221&gt;Drivers!B19,A221&lt;=(Drivers!B19+Drivers!B20)),Summary!B31*D221,0)</f>
        <v>0</v>
      </c>
      <c r="V221" s="14">
        <f>IF(A221&lt;=(Drivers!B19+Drivers!B20),(T221+U221/2)*Drivers!B36/12,T221*Drivers!B36/12)</f>
        <v>9672.560884</v>
      </c>
      <c r="W221" s="14">
        <f>IF(A221&gt;(Drivers!B19+Drivers!B20),MIN(T221,MAX(0,Summary!B32/12-V221)),0)</f>
        <v>248729.2935</v>
      </c>
      <c r="X221" s="14">
        <f>IF(A221=(Drivers!B19+1),Summary!B31*Drivers!B38,0)</f>
        <v>0</v>
      </c>
      <c r="Y221" s="14">
        <f t="shared" si="3"/>
        <v>760581.4074</v>
      </c>
      <c r="Z221" s="14">
        <f t="shared" si="4"/>
        <v>300784.2053</v>
      </c>
      <c r="AA221" s="14">
        <f t="shared" si="7"/>
        <v>-114538872.6</v>
      </c>
      <c r="AB221" s="14">
        <f t="shared" si="5"/>
        <v>559186.0597</v>
      </c>
      <c r="AC221" s="14">
        <f>(E221+F221+G221+H221)*Drivers!B45</f>
        <v>0</v>
      </c>
      <c r="AD221" s="14">
        <f>IF(A221&lt;=Summary!B18,AB221+IF(A221=Summary!B18,Summary!B40,0),0)</f>
        <v>0</v>
      </c>
      <c r="AE221" s="14">
        <f>IF(A221&lt;=Summary!B18,Z221+IF(A221=Summary!B18,Summary!B40-Y221,0),0)</f>
        <v>0</v>
      </c>
      <c r="AF221" s="14">
        <f>AD221-IF(A221=0,Drivers!B44,0)</f>
        <v>0</v>
      </c>
      <c r="AG221" s="14">
        <f t="shared" si="8"/>
        <v>-88681961.17</v>
      </c>
    </row>
    <row r="222">
      <c r="A222" s="2">
        <v>220.0</v>
      </c>
      <c r="B222" s="15">
        <f>EDATE(Setup!B2,A222)</f>
        <v>52976</v>
      </c>
      <c r="C222" s="2" t="str">
        <f>IF(A222=0,"T0",IF(A222&lt;=Drivers!B19,"Preconstruction",IF(A222&lt;=(Drivers!B19+Drivers!B20),"Construction","Trading")))</f>
        <v>Trading</v>
      </c>
      <c r="D222" s="12">
        <f t="array" ref="D222">IF(AND(A222&gt;Drivers!B19,A222&lt;=(Drivers!B19+Drivers!B20)),SIN(PI()*(A222-Drivers!B19-0.5)/Drivers!B20)/SUMPRODUCT(SIN(PI()*(SEQUENCE(Drivers!B20,1)-0.5)/Drivers!B20)),0)</f>
        <v>0</v>
      </c>
      <c r="E222" s="14">
        <f>(Summary!B10+Summary!B12)*D222*(1+Drivers!B21)^(A222/12)</f>
        <v>0</v>
      </c>
      <c r="F222" s="14">
        <f>IF(AND(A222&gt;0,A222&lt;=Drivers!B19),Summary!B11*Drivers!B40/Drivers!B19*(1+Drivers!B21)^(A222/12),Summary!B11*(1-Drivers!B40 )*D222*(1+Drivers!B21)^(A222/12))</f>
        <v>0</v>
      </c>
      <c r="G222" s="14">
        <f>IF(AND(A222&gt;0,A222&lt;=2),Drivers!B16/2,0)</f>
        <v>0</v>
      </c>
      <c r="H222" s="14">
        <f>IF(A222=(Drivers!B19+Drivers!B20),Drivers!B17*(1+Drivers!B21)^(A222/12),0)</f>
        <v>0</v>
      </c>
      <c r="I222" s="14">
        <f>IF(AND(A222&gt;0,A222&lt;=(Drivers!B19+Drivers!B20)),Drivers!B18*(1+Drivers!B23)^(A222/12),0)</f>
        <v>0</v>
      </c>
      <c r="J222" s="14">
        <f t="shared" si="1"/>
        <v>0</v>
      </c>
      <c r="K222" s="12">
        <f>IF(A222&gt;(Drivers!B19+Drivers!B20),MIN(1,0.5+0.5*(A222-(Drivers!B19+Drivers!B20))/Drivers!B39),0)</f>
        <v>1</v>
      </c>
      <c r="L222" s="14">
        <f>Drivers!B2*(B222-B221)*Drivers!B24*(1+Drivers!B22)^(A222/12)*Drivers!B25*K222</f>
        <v>1717921.619</v>
      </c>
      <c r="M222" s="14">
        <f>L222*Drivers!B26</f>
        <v>343584.3239</v>
      </c>
      <c r="N222" s="14">
        <f>(L222+M222)*Drivers!B27</f>
        <v>721527.0801</v>
      </c>
      <c r="O222" s="14">
        <f>IF(A222&gt;(Drivers!B19+Drivers!B20),Drivers!B28/12*(1+Drivers!B23)^(A222/12),0)</f>
        <v>684158.351</v>
      </c>
      <c r="P222" s="14">
        <f>(L222+M222)*Drivers!B29</f>
        <v>82460.23773</v>
      </c>
      <c r="Q222" s="14">
        <f>Drivers!B3*Drivers!B30*(1+Drivers!B22)^(A222/12)*Drivers!B31*(1-Drivers!B32 )*K222</f>
        <v>130845.2846</v>
      </c>
      <c r="R222" s="14">
        <f>IF(A222&gt;(Drivers!B19+Drivers!B20),Drivers!B33/12*(1+Drivers!B23)^(A222/12),0)</f>
        <v>102623.7526</v>
      </c>
      <c r="S222" s="14">
        <f t="shared" si="2"/>
        <v>601581.8063</v>
      </c>
      <c r="T222" s="14">
        <f t="shared" si="6"/>
        <v>760581.4074</v>
      </c>
      <c r="U222" s="14">
        <f>IF(AND(A222&gt;Drivers!B19,A222&lt;=(Drivers!B19+Drivers!B20)),Summary!B31*D222,0)</f>
        <v>0</v>
      </c>
      <c r="V222" s="14">
        <f>IF(A222&lt;=(Drivers!B19+Drivers!B20),(T222+U222/2)*Drivers!B36/12,T222*Drivers!B36/12)</f>
        <v>7288.905154</v>
      </c>
      <c r="W222" s="14">
        <f>IF(A222&gt;(Drivers!B19+Drivers!B20),MIN(T222,MAX(0,Summary!B32/12-V222)),0)</f>
        <v>251112.9493</v>
      </c>
      <c r="X222" s="14">
        <f>IF(A222=(Drivers!B19+1),Summary!B31*Drivers!B38,0)</f>
        <v>0</v>
      </c>
      <c r="Y222" s="14">
        <f t="shared" si="3"/>
        <v>509468.4581</v>
      </c>
      <c r="Z222" s="14">
        <f t="shared" si="4"/>
        <v>343179.9519</v>
      </c>
      <c r="AA222" s="14">
        <f t="shared" si="7"/>
        <v>-114195692.7</v>
      </c>
      <c r="AB222" s="14">
        <f t="shared" si="5"/>
        <v>601581.8063</v>
      </c>
      <c r="AC222" s="14">
        <f>(E222+F222+G222+H222)*Drivers!B45</f>
        <v>0</v>
      </c>
      <c r="AD222" s="14">
        <f>IF(A222&lt;=Summary!B18,AB222+IF(A222=Summary!B18,Summary!B40,0),0)</f>
        <v>0</v>
      </c>
      <c r="AE222" s="14">
        <f>IF(A222&lt;=Summary!B18,Z222+IF(A222=Summary!B18,Summary!B40-Y222,0),0)</f>
        <v>0</v>
      </c>
      <c r="AF222" s="14">
        <f>AD222-IF(A222=0,Drivers!B44,0)</f>
        <v>0</v>
      </c>
      <c r="AG222" s="14">
        <f t="shared" si="8"/>
        <v>-88080379.36</v>
      </c>
    </row>
    <row r="223">
      <c r="A223" s="2">
        <v>221.0</v>
      </c>
      <c r="B223" s="15">
        <f>EDATE(Setup!B2,A223)</f>
        <v>53007</v>
      </c>
      <c r="C223" s="2" t="str">
        <f>IF(A223=0,"T0",IF(A223&lt;=Drivers!B19,"Preconstruction",IF(A223&lt;=(Drivers!B19+Drivers!B20),"Construction","Trading")))</f>
        <v>Trading</v>
      </c>
      <c r="D223" s="12">
        <f t="array" ref="D223">IF(AND(A223&gt;Drivers!B19,A223&lt;=(Drivers!B19+Drivers!B20)),SIN(PI()*(A223-Drivers!B19-0.5)/Drivers!B20)/SUMPRODUCT(SIN(PI()*(SEQUENCE(Drivers!B20,1)-0.5)/Drivers!B20)),0)</f>
        <v>0</v>
      </c>
      <c r="E223" s="14">
        <f>(Summary!B10+Summary!B12)*D223*(1+Drivers!B21)^(A223/12)</f>
        <v>0</v>
      </c>
      <c r="F223" s="14">
        <f>IF(AND(A223&gt;0,A223&lt;=Drivers!B19),Summary!B11*Drivers!B40/Drivers!B19*(1+Drivers!B21)^(A223/12),Summary!B11*(1-Drivers!B40 )*D223*(1+Drivers!B21)^(A223/12))</f>
        <v>0</v>
      </c>
      <c r="G223" s="14">
        <f>IF(AND(A223&gt;0,A223&lt;=2),Drivers!B16/2,0)</f>
        <v>0</v>
      </c>
      <c r="H223" s="14">
        <f>IF(A223=(Drivers!B19+Drivers!B20),Drivers!B17*(1+Drivers!B21)^(A223/12),0)</f>
        <v>0</v>
      </c>
      <c r="I223" s="14">
        <f>IF(AND(A223&gt;0,A223&lt;=(Drivers!B19+Drivers!B20)),Drivers!B18*(1+Drivers!B23)^(A223/12),0)</f>
        <v>0</v>
      </c>
      <c r="J223" s="14">
        <f t="shared" si="1"/>
        <v>0</v>
      </c>
      <c r="K223" s="12">
        <f>IF(A223&gt;(Drivers!B19+Drivers!B20),MIN(1,0.5+0.5*(A223-(Drivers!B19+Drivers!B20))/Drivers!B39),0)</f>
        <v>1</v>
      </c>
      <c r="L223" s="14">
        <f>Drivers!B2*(B223-B222)*Drivers!B24*(1+Drivers!B22)^(A223/12)*Drivers!B25*K223</f>
        <v>1723545.648</v>
      </c>
      <c r="M223" s="14">
        <f>L223*Drivers!B26</f>
        <v>344709.1295</v>
      </c>
      <c r="N223" s="14">
        <f>(L223+M223)*Drivers!B27</f>
        <v>723889.172</v>
      </c>
      <c r="O223" s="14">
        <f>IF(A223&gt;(Drivers!B19+Drivers!B20),Drivers!B28/12*(1+Drivers!B23)^(A223/12),0)</f>
        <v>686398.1074</v>
      </c>
      <c r="P223" s="14">
        <f>(L223+M223)*Drivers!B29</f>
        <v>82730.19109</v>
      </c>
      <c r="Q223" s="14">
        <f>Drivers!B3*Drivers!B30*(1+Drivers!B22)^(A223/12)*Drivers!B31*(1-Drivers!B32 )*K223</f>
        <v>131273.638</v>
      </c>
      <c r="R223" s="14">
        <f>IF(A223&gt;(Drivers!B19+Drivers!B20),Drivers!B33/12*(1+Drivers!B23)^(A223/12),0)</f>
        <v>102959.7161</v>
      </c>
      <c r="S223" s="14">
        <f t="shared" si="2"/>
        <v>603551.2286</v>
      </c>
      <c r="T223" s="14">
        <f t="shared" si="6"/>
        <v>509468.4581</v>
      </c>
      <c r="U223" s="14">
        <f>IF(AND(A223&gt;Drivers!B19,A223&lt;=(Drivers!B19+Drivers!B20)),Summary!B31*D223,0)</f>
        <v>0</v>
      </c>
      <c r="V223" s="14">
        <f>IF(A223&lt;=(Drivers!B19+Drivers!B20),(T223+U223/2)*Drivers!B36/12,T223*Drivers!B36/12)</f>
        <v>4882.406057</v>
      </c>
      <c r="W223" s="14">
        <f>IF(A223&gt;(Drivers!B19+Drivers!B20),MIN(T223,MAX(0,Summary!B32/12-V223)),0)</f>
        <v>253519.4484</v>
      </c>
      <c r="X223" s="14">
        <f>IF(A223=(Drivers!B19+1),Summary!B31*Drivers!B38,0)</f>
        <v>0</v>
      </c>
      <c r="Y223" s="14">
        <f t="shared" si="3"/>
        <v>255949.0097</v>
      </c>
      <c r="Z223" s="14">
        <f t="shared" si="4"/>
        <v>345149.3742</v>
      </c>
      <c r="AA223" s="14">
        <f t="shared" si="7"/>
        <v>-113850543.3</v>
      </c>
      <c r="AB223" s="14">
        <f t="shared" si="5"/>
        <v>603551.2286</v>
      </c>
      <c r="AC223" s="14">
        <f>(E223+F223+G223+H223)*Drivers!B45</f>
        <v>0</v>
      </c>
      <c r="AD223" s="14">
        <f>IF(A223&lt;=Summary!B18,AB223+IF(A223=Summary!B18,Summary!B40,0),0)</f>
        <v>0</v>
      </c>
      <c r="AE223" s="14">
        <f>IF(A223&lt;=Summary!B18,Z223+IF(A223=Summary!B18,Summary!B40-Y223,0),0)</f>
        <v>0</v>
      </c>
      <c r="AF223" s="14">
        <f>AD223-IF(A223=0,Drivers!B44,0)</f>
        <v>0</v>
      </c>
      <c r="AG223" s="14">
        <f t="shared" si="8"/>
        <v>-87476828.13</v>
      </c>
    </row>
    <row r="224">
      <c r="A224" s="2">
        <v>222.0</v>
      </c>
      <c r="B224" s="15">
        <f>EDATE(Setup!B2,A224)</f>
        <v>53035</v>
      </c>
      <c r="C224" s="2" t="str">
        <f>IF(A224=0,"T0",IF(A224&lt;=Drivers!B19,"Preconstruction",IF(A224&lt;=(Drivers!B19+Drivers!B20),"Construction","Trading")))</f>
        <v>Trading</v>
      </c>
      <c r="D224" s="12">
        <f t="array" ref="D224">IF(AND(A224&gt;Drivers!B19,A224&lt;=(Drivers!B19+Drivers!B20)),SIN(PI()*(A224-Drivers!B19-0.5)/Drivers!B20)/SUMPRODUCT(SIN(PI()*(SEQUENCE(Drivers!B20,1)-0.5)/Drivers!B20)),0)</f>
        <v>0</v>
      </c>
      <c r="E224" s="14">
        <f>(Summary!B10+Summary!B12)*D224*(1+Drivers!B21)^(A224/12)</f>
        <v>0</v>
      </c>
      <c r="F224" s="14">
        <f>IF(AND(A224&gt;0,A224&lt;=Drivers!B19),Summary!B11*Drivers!B40/Drivers!B19*(1+Drivers!B21)^(A224/12),Summary!B11*(1-Drivers!B40 )*D224*(1+Drivers!B21)^(A224/12))</f>
        <v>0</v>
      </c>
      <c r="G224" s="14">
        <f>IF(AND(A224&gt;0,A224&lt;=2),Drivers!B16/2,0)</f>
        <v>0</v>
      </c>
      <c r="H224" s="14">
        <f>IF(A224=(Drivers!B19+Drivers!B20),Drivers!B17*(1+Drivers!B21)^(A224/12),0)</f>
        <v>0</v>
      </c>
      <c r="I224" s="14">
        <f>IF(AND(A224&gt;0,A224&lt;=(Drivers!B19+Drivers!B20)),Drivers!B18*(1+Drivers!B23)^(A224/12),0)</f>
        <v>0</v>
      </c>
      <c r="J224" s="14">
        <f t="shared" si="1"/>
        <v>0</v>
      </c>
      <c r="K224" s="12">
        <f>IF(A224&gt;(Drivers!B19+Drivers!B20),MIN(1,0.5+0.5*(A224-(Drivers!B19+Drivers!B20))/Drivers!B39),0)</f>
        <v>1</v>
      </c>
      <c r="L224" s="14">
        <f>Drivers!B2*(B224-B223)*Drivers!B24*(1+Drivers!B22)^(A224/12)*Drivers!B25*K224</f>
        <v>1561847.305</v>
      </c>
      <c r="M224" s="14">
        <f>L224*Drivers!B26</f>
        <v>312369.461</v>
      </c>
      <c r="N224" s="14">
        <f>(L224+M224)*Drivers!B27</f>
        <v>655975.8681</v>
      </c>
      <c r="O224" s="14">
        <f>IF(A224&gt;(Drivers!B19+Drivers!B20),Drivers!B28/12*(1+Drivers!B23)^(A224/12),0)</f>
        <v>688645.1962</v>
      </c>
      <c r="P224" s="14">
        <f>(L224+M224)*Drivers!B29</f>
        <v>74968.67064</v>
      </c>
      <c r="Q224" s="14">
        <f>Drivers!B3*Drivers!B30*(1+Drivers!B22)^(A224/12)*Drivers!B31*(1-Drivers!B32 )*K224</f>
        <v>131703.3938</v>
      </c>
      <c r="R224" s="14">
        <f>IF(A224&gt;(Drivers!B19+Drivers!B20),Drivers!B33/12*(1+Drivers!B23)^(A224/12),0)</f>
        <v>103296.7794</v>
      </c>
      <c r="S224" s="14">
        <f t="shared" si="2"/>
        <v>483033.6454</v>
      </c>
      <c r="T224" s="14">
        <f t="shared" si="6"/>
        <v>255949.0097</v>
      </c>
      <c r="U224" s="14">
        <f>IF(AND(A224&gt;Drivers!B19,A224&lt;=(Drivers!B19+Drivers!B20)),Summary!B31*D224,0)</f>
        <v>0</v>
      </c>
      <c r="V224" s="14">
        <f>IF(A224&lt;=(Drivers!B19+Drivers!B20),(T224+U224/2)*Drivers!B36/12,T224*Drivers!B36/12)</f>
        <v>2452.844677</v>
      </c>
      <c r="W224" s="14">
        <f>IF(A224&gt;(Drivers!B19+Drivers!B20),MIN(T224,MAX(0,Summary!B32/12-V224)),0)</f>
        <v>255949.0097</v>
      </c>
      <c r="X224" s="14">
        <f>IF(A224=(Drivers!B19+1),Summary!B31*Drivers!B38,0)</f>
        <v>0</v>
      </c>
      <c r="Y224" s="14">
        <f t="shared" si="3"/>
        <v>0</v>
      </c>
      <c r="Z224" s="14">
        <f t="shared" si="4"/>
        <v>224631.791</v>
      </c>
      <c r="AA224" s="14">
        <f t="shared" si="7"/>
        <v>-113625911.5</v>
      </c>
      <c r="AB224" s="14">
        <f t="shared" si="5"/>
        <v>483033.6454</v>
      </c>
      <c r="AC224" s="14">
        <f>(E224+F224+G224+H224)*Drivers!B45</f>
        <v>0</v>
      </c>
      <c r="AD224" s="14">
        <f>IF(A224&lt;=Summary!B18,AB224+IF(A224=Summary!B18,Summary!B40,0),0)</f>
        <v>0</v>
      </c>
      <c r="AE224" s="14">
        <f>IF(A224&lt;=Summary!B18,Z224+IF(A224=Summary!B18,Summary!B40-Y224,0),0)</f>
        <v>0</v>
      </c>
      <c r="AF224" s="14">
        <f>AD224-IF(A224=0,Drivers!B44,0)</f>
        <v>0</v>
      </c>
      <c r="AG224" s="14">
        <f t="shared" si="8"/>
        <v>-86993794.49</v>
      </c>
    </row>
    <row r="225">
      <c r="A225" s="2">
        <v>223.0</v>
      </c>
      <c r="B225" s="15">
        <f>EDATE(Setup!B2,A225)</f>
        <v>53066</v>
      </c>
      <c r="C225" s="2" t="str">
        <f>IF(A225=0,"T0",IF(A225&lt;=Drivers!B19,"Preconstruction",IF(A225&lt;=(Drivers!B19+Drivers!B20),"Construction","Trading")))</f>
        <v>Trading</v>
      </c>
      <c r="D225" s="12">
        <f t="array" ref="D225">IF(AND(A225&gt;Drivers!B19,A225&lt;=(Drivers!B19+Drivers!B20)),SIN(PI()*(A225-Drivers!B19-0.5)/Drivers!B20)/SUMPRODUCT(SIN(PI()*(SEQUENCE(Drivers!B20,1)-0.5)/Drivers!B20)),0)</f>
        <v>0</v>
      </c>
      <c r="E225" s="14">
        <f>(Summary!B10+Summary!B12)*D225*(1+Drivers!B21)^(A225/12)</f>
        <v>0</v>
      </c>
      <c r="F225" s="14">
        <f>IF(AND(A225&gt;0,A225&lt;=Drivers!B19),Summary!B11*Drivers!B40/Drivers!B19*(1+Drivers!B21)^(A225/12),Summary!B11*(1-Drivers!B40 )*D225*(1+Drivers!B21)^(A225/12))</f>
        <v>0</v>
      </c>
      <c r="G225" s="14">
        <f>IF(AND(A225&gt;0,A225&lt;=2),Drivers!B16/2,0)</f>
        <v>0</v>
      </c>
      <c r="H225" s="14">
        <f>IF(A225=(Drivers!B19+Drivers!B20),Drivers!B17*(1+Drivers!B21)^(A225/12),0)</f>
        <v>0</v>
      </c>
      <c r="I225" s="14">
        <f>IF(AND(A225&gt;0,A225&lt;=(Drivers!B19+Drivers!B20)),Drivers!B18*(1+Drivers!B23)^(A225/12),0)</f>
        <v>0</v>
      </c>
      <c r="J225" s="14">
        <f t="shared" si="1"/>
        <v>0</v>
      </c>
      <c r="K225" s="12">
        <f>IF(A225&gt;(Drivers!B19+Drivers!B20),MIN(1,0.5+0.5*(A225-(Drivers!B19+Drivers!B20))/Drivers!B39),0)</f>
        <v>1</v>
      </c>
      <c r="L225" s="14">
        <f>Drivers!B2*(B225-B224)*Drivers!B24*(1+Drivers!B22)^(A225/12)*Drivers!B25*K225</f>
        <v>1734848.999</v>
      </c>
      <c r="M225" s="14">
        <f>L225*Drivers!B26</f>
        <v>346969.7999</v>
      </c>
      <c r="N225" s="14">
        <f>(L225+M225)*Drivers!B27</f>
        <v>728636.5798</v>
      </c>
      <c r="O225" s="14">
        <f>IF(A225&gt;(Drivers!B19+Drivers!B20),Drivers!B28/12*(1+Drivers!B23)^(A225/12),0)</f>
        <v>690899.6414</v>
      </c>
      <c r="P225" s="14">
        <f>(L225+M225)*Drivers!B29</f>
        <v>83272.75197</v>
      </c>
      <c r="Q225" s="14">
        <f>Drivers!B3*Drivers!B30*(1+Drivers!B22)^(A225/12)*Drivers!B31*(1-Drivers!B32 )*K225</f>
        <v>132134.5564</v>
      </c>
      <c r="R225" s="14">
        <f>IF(A225&gt;(Drivers!B19+Drivers!B20),Drivers!B33/12*(1+Drivers!B23)^(A225/12),0)</f>
        <v>103634.9462</v>
      </c>
      <c r="S225" s="14">
        <f t="shared" si="2"/>
        <v>607509.4365</v>
      </c>
      <c r="T225" s="14">
        <f t="shared" si="6"/>
        <v>0</v>
      </c>
      <c r="U225" s="14">
        <f>IF(AND(A225&gt;Drivers!B19,A225&lt;=(Drivers!B19+Drivers!B20)),Summary!B31*D225,0)</f>
        <v>0</v>
      </c>
      <c r="V225" s="14">
        <f>IF(A225&lt;=(Drivers!B19+Drivers!B20),(T225+U225/2)*Drivers!B36/12,T225*Drivers!B36/12)</f>
        <v>0</v>
      </c>
      <c r="W225" s="14">
        <f>IF(A225&gt;(Drivers!B19+Drivers!B20),MIN(T225,MAX(0,Summary!B32/12-V225)),0)</f>
        <v>0</v>
      </c>
      <c r="X225" s="14">
        <f>IF(A225=(Drivers!B19+1),Summary!B31*Drivers!B38,0)</f>
        <v>0</v>
      </c>
      <c r="Y225" s="14">
        <f t="shared" si="3"/>
        <v>0</v>
      </c>
      <c r="Z225" s="14">
        <f t="shared" si="4"/>
        <v>607509.4365</v>
      </c>
      <c r="AA225" s="14">
        <f t="shared" si="7"/>
        <v>-113018402.1</v>
      </c>
      <c r="AB225" s="14">
        <f t="shared" si="5"/>
        <v>607509.4365</v>
      </c>
      <c r="AC225" s="14">
        <f>(E225+F225+G225+H225)*Drivers!B45</f>
        <v>0</v>
      </c>
      <c r="AD225" s="14">
        <f>IF(A225&lt;=Summary!B18,AB225+IF(A225=Summary!B18,Summary!B40,0),0)</f>
        <v>0</v>
      </c>
      <c r="AE225" s="14">
        <f>IF(A225&lt;=Summary!B18,Z225+IF(A225=Summary!B18,Summary!B40-Y225,0),0)</f>
        <v>0</v>
      </c>
      <c r="AF225" s="14">
        <f>AD225-IF(A225=0,Drivers!B44,0)</f>
        <v>0</v>
      </c>
      <c r="AG225" s="14">
        <f t="shared" si="8"/>
        <v>-86386285.05</v>
      </c>
    </row>
    <row r="226">
      <c r="A226" s="2">
        <v>224.0</v>
      </c>
      <c r="B226" s="15">
        <f>EDATE(Setup!B2,A226)</f>
        <v>53096</v>
      </c>
      <c r="C226" s="2" t="str">
        <f>IF(A226=0,"T0",IF(A226&lt;=Drivers!B19,"Preconstruction",IF(A226&lt;=(Drivers!B19+Drivers!B20),"Construction","Trading")))</f>
        <v>Trading</v>
      </c>
      <c r="D226" s="12">
        <f t="array" ref="D226">IF(AND(A226&gt;Drivers!B19,A226&lt;=(Drivers!B19+Drivers!B20)),SIN(PI()*(A226-Drivers!B19-0.5)/Drivers!B20)/SUMPRODUCT(SIN(PI()*(SEQUENCE(Drivers!B20,1)-0.5)/Drivers!B20)),0)</f>
        <v>0</v>
      </c>
      <c r="E226" s="14">
        <f>(Summary!B10+Summary!B12)*D226*(1+Drivers!B21)^(A226/12)</f>
        <v>0</v>
      </c>
      <c r="F226" s="14">
        <f>IF(AND(A226&gt;0,A226&lt;=Drivers!B19),Summary!B11*Drivers!B40/Drivers!B19*(1+Drivers!B21)^(A226/12),Summary!B11*(1-Drivers!B40 )*D226*(1+Drivers!B21)^(A226/12))</f>
        <v>0</v>
      </c>
      <c r="G226" s="14">
        <f>IF(AND(A226&gt;0,A226&lt;=2),Drivers!B16/2,0)</f>
        <v>0</v>
      </c>
      <c r="H226" s="14">
        <f>IF(A226=(Drivers!B19+Drivers!B20),Drivers!B17*(1+Drivers!B21)^(A226/12),0)</f>
        <v>0</v>
      </c>
      <c r="I226" s="14">
        <f>IF(AND(A226&gt;0,A226&lt;=(Drivers!B19+Drivers!B20)),Drivers!B18*(1+Drivers!B23)^(A226/12),0)</f>
        <v>0</v>
      </c>
      <c r="J226" s="14">
        <f t="shared" si="1"/>
        <v>0</v>
      </c>
      <c r="K226" s="12">
        <f>IF(A226&gt;(Drivers!B19+Drivers!B20),MIN(1,0.5+0.5*(A226-(Drivers!B19+Drivers!B20))/Drivers!B39),0)</f>
        <v>1</v>
      </c>
      <c r="L226" s="14">
        <f>Drivers!B2*(B226-B225)*Drivers!B24*(1+Drivers!B22)^(A226/12)*Drivers!B25*K226</f>
        <v>1684382.365</v>
      </c>
      <c r="M226" s="14">
        <f>L226*Drivers!B26</f>
        <v>336876.473</v>
      </c>
      <c r="N226" s="14">
        <f>(L226+M226)*Drivers!B27</f>
        <v>707440.5932</v>
      </c>
      <c r="O226" s="14">
        <f>IF(A226&gt;(Drivers!B19+Drivers!B20),Drivers!B28/12*(1+Drivers!B23)^(A226/12),0)</f>
        <v>693161.467</v>
      </c>
      <c r="P226" s="14">
        <f>(L226+M226)*Drivers!B29</f>
        <v>80850.35351</v>
      </c>
      <c r="Q226" s="14">
        <f>Drivers!B3*Drivers!B30*(1+Drivers!B22)^(A226/12)*Drivers!B31*(1-Drivers!B32 )*K226</f>
        <v>132567.1306</v>
      </c>
      <c r="R226" s="14">
        <f>IF(A226&gt;(Drivers!B19+Drivers!B20),Drivers!B33/12*(1+Drivers!B23)^(A226/12),0)</f>
        <v>103974.2201</v>
      </c>
      <c r="S226" s="14">
        <f t="shared" si="2"/>
        <v>568399.3346</v>
      </c>
      <c r="T226" s="14">
        <f t="shared" si="6"/>
        <v>0</v>
      </c>
      <c r="U226" s="14">
        <f>IF(AND(A226&gt;Drivers!B19,A226&lt;=(Drivers!B19+Drivers!B20)),Summary!B31*D226,0)</f>
        <v>0</v>
      </c>
      <c r="V226" s="14">
        <f>IF(A226&lt;=(Drivers!B19+Drivers!B20),(T226+U226/2)*Drivers!B36/12,T226*Drivers!B36/12)</f>
        <v>0</v>
      </c>
      <c r="W226" s="14">
        <f>IF(A226&gt;(Drivers!B19+Drivers!B20),MIN(T226,MAX(0,Summary!B32/12-V226)),0)</f>
        <v>0</v>
      </c>
      <c r="X226" s="14">
        <f>IF(A226=(Drivers!B19+1),Summary!B31*Drivers!B38,0)</f>
        <v>0</v>
      </c>
      <c r="Y226" s="14">
        <f t="shared" si="3"/>
        <v>0</v>
      </c>
      <c r="Z226" s="14">
        <f t="shared" si="4"/>
        <v>568399.3346</v>
      </c>
      <c r="AA226" s="14">
        <f t="shared" si="7"/>
        <v>-112450002.7</v>
      </c>
      <c r="AB226" s="14">
        <f t="shared" si="5"/>
        <v>568399.3346</v>
      </c>
      <c r="AC226" s="14">
        <f>(E226+F226+G226+H226)*Drivers!B45</f>
        <v>0</v>
      </c>
      <c r="AD226" s="14">
        <f>IF(A226&lt;=Summary!B18,AB226+IF(A226=Summary!B18,Summary!B40,0),0)</f>
        <v>0</v>
      </c>
      <c r="AE226" s="14">
        <f>IF(A226&lt;=Summary!B18,Z226+IF(A226=Summary!B18,Summary!B40-Y226,0),0)</f>
        <v>0</v>
      </c>
      <c r="AF226" s="14">
        <f>AD226-IF(A226=0,Drivers!B44,0)</f>
        <v>0</v>
      </c>
      <c r="AG226" s="14">
        <f t="shared" si="8"/>
        <v>-85817885.72</v>
      </c>
    </row>
    <row r="227">
      <c r="A227" s="2">
        <v>225.0</v>
      </c>
      <c r="B227" s="15">
        <f>EDATE(Setup!B2,A227)</f>
        <v>53127</v>
      </c>
      <c r="C227" s="2" t="str">
        <f>IF(A227=0,"T0",IF(A227&lt;=Drivers!B19,"Preconstruction",IF(A227&lt;=(Drivers!B19+Drivers!B20),"Construction","Trading")))</f>
        <v>Trading</v>
      </c>
      <c r="D227" s="12">
        <f t="array" ref="D227">IF(AND(A227&gt;Drivers!B19,A227&lt;=(Drivers!B19+Drivers!B20)),SIN(PI()*(A227-Drivers!B19-0.5)/Drivers!B20)/SUMPRODUCT(SIN(PI()*(SEQUENCE(Drivers!B20,1)-0.5)/Drivers!B20)),0)</f>
        <v>0</v>
      </c>
      <c r="E227" s="14">
        <f>(Summary!B10+Summary!B12)*D227*(1+Drivers!B21)^(A227/12)</f>
        <v>0</v>
      </c>
      <c r="F227" s="14">
        <f>IF(AND(A227&gt;0,A227&lt;=Drivers!B19),Summary!B11*Drivers!B40/Drivers!B19*(1+Drivers!B21)^(A227/12),Summary!B11*(1-Drivers!B40 )*D227*(1+Drivers!B21)^(A227/12))</f>
        <v>0</v>
      </c>
      <c r="G227" s="14">
        <f>IF(AND(A227&gt;0,A227&lt;=2),Drivers!B16/2,0)</f>
        <v>0</v>
      </c>
      <c r="H227" s="14">
        <f>IF(A227=(Drivers!B19+Drivers!B20),Drivers!B17*(1+Drivers!B21)^(A227/12),0)</f>
        <v>0</v>
      </c>
      <c r="I227" s="14">
        <f>IF(AND(A227&gt;0,A227&lt;=(Drivers!B19+Drivers!B20)),Drivers!B18*(1+Drivers!B23)^(A227/12),0)</f>
        <v>0</v>
      </c>
      <c r="J227" s="14">
        <f t="shared" si="1"/>
        <v>0</v>
      </c>
      <c r="K227" s="12">
        <f>IF(A227&gt;(Drivers!B19+Drivers!B20),MIN(1,0.5+0.5*(A227-(Drivers!B19+Drivers!B20))/Drivers!B39),0)</f>
        <v>1</v>
      </c>
      <c r="L227" s="14">
        <f>Drivers!B2*(B227-B226)*Drivers!B24*(1+Drivers!B22)^(A227/12)*Drivers!B25*K227</f>
        <v>1746226.481</v>
      </c>
      <c r="M227" s="14">
        <f>L227*Drivers!B26</f>
        <v>349245.2962</v>
      </c>
      <c r="N227" s="14">
        <f>(L227+M227)*Drivers!B27</f>
        <v>733415.122</v>
      </c>
      <c r="O227" s="14">
        <f>IF(A227&gt;(Drivers!B19+Drivers!B20),Drivers!B28/12*(1+Drivers!B23)^(A227/12),0)</f>
        <v>695430.6973</v>
      </c>
      <c r="P227" s="14">
        <f>(L227+M227)*Drivers!B29</f>
        <v>83818.87108</v>
      </c>
      <c r="Q227" s="14">
        <f>Drivers!B3*Drivers!B30*(1+Drivers!B22)^(A227/12)*Drivers!B31*(1-Drivers!B32 )*K227</f>
        <v>133001.1209</v>
      </c>
      <c r="R227" s="14">
        <f>IF(A227&gt;(Drivers!B19+Drivers!B20),Drivers!B33/12*(1+Drivers!B23)^(A227/12),0)</f>
        <v>104314.6046</v>
      </c>
      <c r="S227" s="14">
        <f t="shared" si="2"/>
        <v>611493.603</v>
      </c>
      <c r="T227" s="14">
        <f t="shared" si="6"/>
        <v>0</v>
      </c>
      <c r="U227" s="14">
        <f>IF(AND(A227&gt;Drivers!B19,A227&lt;=(Drivers!B19+Drivers!B20)),Summary!B31*D227,0)</f>
        <v>0</v>
      </c>
      <c r="V227" s="14">
        <f>IF(A227&lt;=(Drivers!B19+Drivers!B20),(T227+U227/2)*Drivers!B36/12,T227*Drivers!B36/12)</f>
        <v>0</v>
      </c>
      <c r="W227" s="14">
        <f>IF(A227&gt;(Drivers!B19+Drivers!B20),MIN(T227,MAX(0,Summary!B32/12-V227)),0)</f>
        <v>0</v>
      </c>
      <c r="X227" s="14">
        <f>IF(A227=(Drivers!B19+1),Summary!B31*Drivers!B38,0)</f>
        <v>0</v>
      </c>
      <c r="Y227" s="14">
        <f t="shared" si="3"/>
        <v>0</v>
      </c>
      <c r="Z227" s="14">
        <f t="shared" si="4"/>
        <v>611493.603</v>
      </c>
      <c r="AA227" s="14">
        <f t="shared" si="7"/>
        <v>-111838509.1</v>
      </c>
      <c r="AB227" s="14">
        <f t="shared" si="5"/>
        <v>611493.603</v>
      </c>
      <c r="AC227" s="14">
        <f>(E227+F227+G227+H227)*Drivers!B45</f>
        <v>0</v>
      </c>
      <c r="AD227" s="14">
        <f>IF(A227&lt;=Summary!B18,AB227+IF(A227=Summary!B18,Summary!B40,0),0)</f>
        <v>0</v>
      </c>
      <c r="AE227" s="14">
        <f>IF(A227&lt;=Summary!B18,Z227+IF(A227=Summary!B18,Summary!B40-Y227,0),0)</f>
        <v>0</v>
      </c>
      <c r="AF227" s="14">
        <f>AD227-IF(A227=0,Drivers!B44,0)</f>
        <v>0</v>
      </c>
      <c r="AG227" s="14">
        <f t="shared" si="8"/>
        <v>-85206392.11</v>
      </c>
    </row>
    <row r="228">
      <c r="A228" s="2">
        <v>226.0</v>
      </c>
      <c r="B228" s="15">
        <f>EDATE(Setup!B2,A228)</f>
        <v>53157</v>
      </c>
      <c r="C228" s="2" t="str">
        <f>IF(A228=0,"T0",IF(A228&lt;=Drivers!B19,"Preconstruction",IF(A228&lt;=(Drivers!B19+Drivers!B20),"Construction","Trading")))</f>
        <v>Trading</v>
      </c>
      <c r="D228" s="12">
        <f t="array" ref="D228">IF(AND(A228&gt;Drivers!B19,A228&lt;=(Drivers!B19+Drivers!B20)),SIN(PI()*(A228-Drivers!B19-0.5)/Drivers!B20)/SUMPRODUCT(SIN(PI()*(SEQUENCE(Drivers!B20,1)-0.5)/Drivers!B20)),0)</f>
        <v>0</v>
      </c>
      <c r="E228" s="14">
        <f>(Summary!B10+Summary!B12)*D228*(1+Drivers!B21)^(A228/12)</f>
        <v>0</v>
      </c>
      <c r="F228" s="14">
        <f>IF(AND(A228&gt;0,A228&lt;=Drivers!B19),Summary!B11*Drivers!B40/Drivers!B19*(1+Drivers!B21)^(A228/12),Summary!B11*(1-Drivers!B40 )*D228*(1+Drivers!B21)^(A228/12))</f>
        <v>0</v>
      </c>
      <c r="G228" s="14">
        <f>IF(AND(A228&gt;0,A228&lt;=2),Drivers!B16/2,0)</f>
        <v>0</v>
      </c>
      <c r="H228" s="14">
        <f>IF(A228=(Drivers!B19+Drivers!B20),Drivers!B17*(1+Drivers!B21)^(A228/12),0)</f>
        <v>0</v>
      </c>
      <c r="I228" s="14">
        <f>IF(AND(A228&gt;0,A228&lt;=(Drivers!B19+Drivers!B20)),Drivers!B18*(1+Drivers!B23)^(A228/12),0)</f>
        <v>0</v>
      </c>
      <c r="J228" s="14">
        <f t="shared" si="1"/>
        <v>0</v>
      </c>
      <c r="K228" s="12">
        <f>IF(A228&gt;(Drivers!B19+Drivers!B20),MIN(1,0.5+0.5*(A228-(Drivers!B19+Drivers!B20))/Drivers!B39),0)</f>
        <v>1</v>
      </c>
      <c r="L228" s="14">
        <f>Drivers!B2*(B228-B227)*Drivers!B24*(1+Drivers!B22)^(A228/12)*Drivers!B25*K228</f>
        <v>1695428.876</v>
      </c>
      <c r="M228" s="14">
        <f>L228*Drivers!B26</f>
        <v>339085.7752</v>
      </c>
      <c r="N228" s="14">
        <f>(L228+M228)*Drivers!B27</f>
        <v>712080.128</v>
      </c>
      <c r="O228" s="14">
        <f>IF(A228&gt;(Drivers!B19+Drivers!B20),Drivers!B28/12*(1+Drivers!B23)^(A228/12),0)</f>
        <v>697707.3564</v>
      </c>
      <c r="P228" s="14">
        <f>(L228+M228)*Drivers!B29</f>
        <v>81380.58605</v>
      </c>
      <c r="Q228" s="14">
        <f>Drivers!B3*Drivers!B30*(1+Drivers!B22)^(A228/12)*Drivers!B31*(1-Drivers!B32 )*K228</f>
        <v>133436.5319</v>
      </c>
      <c r="R228" s="14">
        <f>IF(A228&gt;(Drivers!B19+Drivers!B20),Drivers!B33/12*(1+Drivers!B23)^(A228/12),0)</f>
        <v>104656.1035</v>
      </c>
      <c r="S228" s="14">
        <f t="shared" si="2"/>
        <v>572127.0093</v>
      </c>
      <c r="T228" s="14">
        <f t="shared" si="6"/>
        <v>0</v>
      </c>
      <c r="U228" s="14">
        <f>IF(AND(A228&gt;Drivers!B19,A228&lt;=(Drivers!B19+Drivers!B20)),Summary!B31*D228,0)</f>
        <v>0</v>
      </c>
      <c r="V228" s="14">
        <f>IF(A228&lt;=(Drivers!B19+Drivers!B20),(T228+U228/2)*Drivers!B36/12,T228*Drivers!B36/12)</f>
        <v>0</v>
      </c>
      <c r="W228" s="14">
        <f>IF(A228&gt;(Drivers!B19+Drivers!B20),MIN(T228,MAX(0,Summary!B32/12-V228)),0)</f>
        <v>0</v>
      </c>
      <c r="X228" s="14">
        <f>IF(A228=(Drivers!B19+1),Summary!B31*Drivers!B38,0)</f>
        <v>0</v>
      </c>
      <c r="Y228" s="14">
        <f t="shared" si="3"/>
        <v>0</v>
      </c>
      <c r="Z228" s="14">
        <f t="shared" si="4"/>
        <v>572127.0093</v>
      </c>
      <c r="AA228" s="14">
        <f t="shared" si="7"/>
        <v>-111266382.1</v>
      </c>
      <c r="AB228" s="14">
        <f t="shared" si="5"/>
        <v>572127.0093</v>
      </c>
      <c r="AC228" s="14">
        <f>(E228+F228+G228+H228)*Drivers!B45</f>
        <v>0</v>
      </c>
      <c r="AD228" s="14">
        <f>IF(A228&lt;=Summary!B18,AB228+IF(A228=Summary!B18,Summary!B40,0),0)</f>
        <v>0</v>
      </c>
      <c r="AE228" s="14">
        <f>IF(A228&lt;=Summary!B18,Z228+IF(A228=Summary!B18,Summary!B40-Y228,0),0)</f>
        <v>0</v>
      </c>
      <c r="AF228" s="14">
        <f>AD228-IF(A228=0,Drivers!B44,0)</f>
        <v>0</v>
      </c>
      <c r="AG228" s="14">
        <f t="shared" si="8"/>
        <v>-84634265.1</v>
      </c>
    </row>
    <row r="229">
      <c r="A229" s="2">
        <v>227.0</v>
      </c>
      <c r="B229" s="15">
        <f>EDATE(Setup!B2,A229)</f>
        <v>53188</v>
      </c>
      <c r="C229" s="2" t="str">
        <f>IF(A229=0,"T0",IF(A229&lt;=Drivers!B19,"Preconstruction",IF(A229&lt;=(Drivers!B19+Drivers!B20),"Construction","Trading")))</f>
        <v>Trading</v>
      </c>
      <c r="D229" s="12">
        <f t="array" ref="D229">IF(AND(A229&gt;Drivers!B19,A229&lt;=(Drivers!B19+Drivers!B20)),SIN(PI()*(A229-Drivers!B19-0.5)/Drivers!B20)/SUMPRODUCT(SIN(PI()*(SEQUENCE(Drivers!B20,1)-0.5)/Drivers!B20)),0)</f>
        <v>0</v>
      </c>
      <c r="E229" s="14">
        <f>(Summary!B10+Summary!B12)*D229*(1+Drivers!B21)^(A229/12)</f>
        <v>0</v>
      </c>
      <c r="F229" s="14">
        <f>IF(AND(A229&gt;0,A229&lt;=Drivers!B19),Summary!B11*Drivers!B40/Drivers!B19*(1+Drivers!B21)^(A229/12),Summary!B11*(1-Drivers!B40 )*D229*(1+Drivers!B21)^(A229/12))</f>
        <v>0</v>
      </c>
      <c r="G229" s="14">
        <f>IF(AND(A229&gt;0,A229&lt;=2),Drivers!B16/2,0)</f>
        <v>0</v>
      </c>
      <c r="H229" s="14">
        <f>IF(A229=(Drivers!B19+Drivers!B20),Drivers!B17*(1+Drivers!B21)^(A229/12),0)</f>
        <v>0</v>
      </c>
      <c r="I229" s="14">
        <f>IF(AND(A229&gt;0,A229&lt;=(Drivers!B19+Drivers!B20)),Drivers!B18*(1+Drivers!B23)^(A229/12),0)</f>
        <v>0</v>
      </c>
      <c r="J229" s="14">
        <f t="shared" si="1"/>
        <v>0</v>
      </c>
      <c r="K229" s="12">
        <f>IF(A229&gt;(Drivers!B19+Drivers!B20),MIN(1,0.5+0.5*(A229-(Drivers!B19+Drivers!B20))/Drivers!B39),0)</f>
        <v>1</v>
      </c>
      <c r="L229" s="14">
        <f>Drivers!B2*(B229-B228)*Drivers!B24*(1+Drivers!B22)^(A229/12)*Drivers!B25*K229</f>
        <v>1757678.578</v>
      </c>
      <c r="M229" s="14">
        <f>L229*Drivers!B26</f>
        <v>351535.7156</v>
      </c>
      <c r="N229" s="14">
        <f>(L229+M229)*Drivers!B27</f>
        <v>738225.0028</v>
      </c>
      <c r="O229" s="14">
        <f>IF(A229&gt;(Drivers!B19+Drivers!B20),Drivers!B28/12*(1+Drivers!B23)^(A229/12),0)</f>
        <v>699991.4687</v>
      </c>
      <c r="P229" s="14">
        <f>(L229+M229)*Drivers!B29</f>
        <v>84368.57175</v>
      </c>
      <c r="Q229" s="14">
        <f>Drivers!B3*Drivers!B30*(1+Drivers!B22)^(A229/12)*Drivers!B31*(1-Drivers!B32 )*K229</f>
        <v>133873.3684</v>
      </c>
      <c r="R229" s="14">
        <f>IF(A229&gt;(Drivers!B19+Drivers!B20),Drivers!B33/12*(1+Drivers!B23)^(A229/12),0)</f>
        <v>104998.7203</v>
      </c>
      <c r="S229" s="14">
        <f t="shared" si="2"/>
        <v>615503.8985</v>
      </c>
      <c r="T229" s="14">
        <f t="shared" si="6"/>
        <v>0</v>
      </c>
      <c r="U229" s="14">
        <f>IF(AND(A229&gt;Drivers!B19,A229&lt;=(Drivers!B19+Drivers!B20)),Summary!B31*D229,0)</f>
        <v>0</v>
      </c>
      <c r="V229" s="14">
        <f>IF(A229&lt;=(Drivers!B19+Drivers!B20),(T229+U229/2)*Drivers!B36/12,T229*Drivers!B36/12)</f>
        <v>0</v>
      </c>
      <c r="W229" s="14">
        <f>IF(A229&gt;(Drivers!B19+Drivers!B20),MIN(T229,MAX(0,Summary!B32/12-V229)),0)</f>
        <v>0</v>
      </c>
      <c r="X229" s="14">
        <f>IF(A229=(Drivers!B19+1),Summary!B31*Drivers!B38,0)</f>
        <v>0</v>
      </c>
      <c r="Y229" s="14">
        <f t="shared" si="3"/>
        <v>0</v>
      </c>
      <c r="Z229" s="14">
        <f t="shared" si="4"/>
        <v>615503.8985</v>
      </c>
      <c r="AA229" s="14">
        <f t="shared" si="7"/>
        <v>-110650878.2</v>
      </c>
      <c r="AB229" s="14">
        <f t="shared" si="5"/>
        <v>615503.8985</v>
      </c>
      <c r="AC229" s="14">
        <f>(E229+F229+G229+H229)*Drivers!B45</f>
        <v>0</v>
      </c>
      <c r="AD229" s="14">
        <f>IF(A229&lt;=Summary!B18,AB229+IF(A229=Summary!B18,Summary!B40,0),0)</f>
        <v>0</v>
      </c>
      <c r="AE229" s="14">
        <f>IF(A229&lt;=Summary!B18,Z229+IF(A229=Summary!B18,Summary!B40-Y229,0),0)</f>
        <v>0</v>
      </c>
      <c r="AF229" s="14">
        <f>AD229-IF(A229=0,Drivers!B44,0)</f>
        <v>0</v>
      </c>
      <c r="AG229" s="14">
        <f t="shared" si="8"/>
        <v>-84018761.21</v>
      </c>
    </row>
    <row r="230">
      <c r="A230" s="2">
        <v>228.0</v>
      </c>
      <c r="B230" s="15">
        <f>EDATE(Setup!B2,A230)</f>
        <v>53219</v>
      </c>
      <c r="C230" s="2" t="str">
        <f>IF(A230=0,"T0",IF(A230&lt;=Drivers!B19,"Preconstruction",IF(A230&lt;=(Drivers!B19+Drivers!B20),"Construction","Trading")))</f>
        <v>Trading</v>
      </c>
      <c r="D230" s="12">
        <f t="array" ref="D230">IF(AND(A230&gt;Drivers!B19,A230&lt;=(Drivers!B19+Drivers!B20)),SIN(PI()*(A230-Drivers!B19-0.5)/Drivers!B20)/SUMPRODUCT(SIN(PI()*(SEQUENCE(Drivers!B20,1)-0.5)/Drivers!B20)),0)</f>
        <v>0</v>
      </c>
      <c r="E230" s="14">
        <f>(Summary!B10+Summary!B12)*D230*(1+Drivers!B21)^(A230/12)</f>
        <v>0</v>
      </c>
      <c r="F230" s="14">
        <f>IF(AND(A230&gt;0,A230&lt;=Drivers!B19),Summary!B11*Drivers!B40/Drivers!B19*(1+Drivers!B21)^(A230/12),Summary!B11*(1-Drivers!B40 )*D230*(1+Drivers!B21)^(A230/12))</f>
        <v>0</v>
      </c>
      <c r="G230" s="14">
        <f>IF(AND(A230&gt;0,A230&lt;=2),Drivers!B16/2,0)</f>
        <v>0</v>
      </c>
      <c r="H230" s="14">
        <f>IF(A230=(Drivers!B19+Drivers!B20),Drivers!B17*(1+Drivers!B21)^(A230/12),0)</f>
        <v>0</v>
      </c>
      <c r="I230" s="14">
        <f>IF(AND(A230&gt;0,A230&lt;=(Drivers!B19+Drivers!B20)),Drivers!B18*(1+Drivers!B23)^(A230/12),0)</f>
        <v>0</v>
      </c>
      <c r="J230" s="14">
        <f t="shared" si="1"/>
        <v>0</v>
      </c>
      <c r="K230" s="12">
        <f>IF(A230&gt;(Drivers!B19+Drivers!B20),MIN(1,0.5+0.5*(A230-(Drivers!B19+Drivers!B20))/Drivers!B39),0)</f>
        <v>1</v>
      </c>
      <c r="L230" s="14">
        <f>Drivers!B2*(B230-B229)*Drivers!B24*(1+Drivers!B22)^(A230/12)*Drivers!B25*K230</f>
        <v>1763432.76</v>
      </c>
      <c r="M230" s="14">
        <f>L230*Drivers!B26</f>
        <v>352686.5521</v>
      </c>
      <c r="N230" s="14">
        <f>(L230+M230)*Drivers!B27</f>
        <v>740641.7593</v>
      </c>
      <c r="O230" s="14">
        <f>IF(A230&gt;(Drivers!B19+Drivers!B20),Drivers!B28/12*(1+Drivers!B23)^(A230/12),0)</f>
        <v>702283.0587</v>
      </c>
      <c r="P230" s="14">
        <f>(L230+M230)*Drivers!B29</f>
        <v>84644.77249</v>
      </c>
      <c r="Q230" s="14">
        <f>Drivers!B3*Drivers!B30*(1+Drivers!B22)^(A230/12)*Drivers!B31*(1-Drivers!B32 )*K230</f>
        <v>134311.635</v>
      </c>
      <c r="R230" s="14">
        <f>IF(A230&gt;(Drivers!B19+Drivers!B20),Drivers!B33/12*(1+Drivers!B23)^(A230/12),0)</f>
        <v>105342.4588</v>
      </c>
      <c r="S230" s="14">
        <f t="shared" si="2"/>
        <v>617518.898</v>
      </c>
      <c r="T230" s="14">
        <f t="shared" si="6"/>
        <v>0</v>
      </c>
      <c r="U230" s="14">
        <f>IF(AND(A230&gt;Drivers!B19,A230&lt;=(Drivers!B19+Drivers!B20)),Summary!B31*D230,0)</f>
        <v>0</v>
      </c>
      <c r="V230" s="14">
        <f>IF(A230&lt;=(Drivers!B19+Drivers!B20),(T230+U230/2)*Drivers!B36/12,T230*Drivers!B36/12)</f>
        <v>0</v>
      </c>
      <c r="W230" s="14">
        <f>IF(A230&gt;(Drivers!B19+Drivers!B20),MIN(T230,MAX(0,Summary!B32/12-V230)),0)</f>
        <v>0</v>
      </c>
      <c r="X230" s="14">
        <f>IF(A230=(Drivers!B19+1),Summary!B31*Drivers!B38,0)</f>
        <v>0</v>
      </c>
      <c r="Y230" s="14">
        <f t="shared" si="3"/>
        <v>0</v>
      </c>
      <c r="Z230" s="14">
        <f t="shared" si="4"/>
        <v>617518.898</v>
      </c>
      <c r="AA230" s="14">
        <f t="shared" si="7"/>
        <v>-110033359.3</v>
      </c>
      <c r="AB230" s="14">
        <f t="shared" si="5"/>
        <v>617518.898</v>
      </c>
      <c r="AC230" s="14">
        <f>(E230+F230+G230+H230)*Drivers!B45</f>
        <v>0</v>
      </c>
      <c r="AD230" s="14">
        <f>IF(A230&lt;=Summary!B18,AB230+IF(A230=Summary!B18,Summary!B40,0),0)</f>
        <v>0</v>
      </c>
      <c r="AE230" s="14">
        <f>IF(A230&lt;=Summary!B18,Z230+IF(A230=Summary!B18,Summary!B40-Y230,0),0)</f>
        <v>0</v>
      </c>
      <c r="AF230" s="14">
        <f>AD230-IF(A230=0,Drivers!B44,0)</f>
        <v>0</v>
      </c>
      <c r="AG230" s="14">
        <f t="shared" si="8"/>
        <v>-83401242.31</v>
      </c>
    </row>
    <row r="231">
      <c r="A231" s="2">
        <v>229.0</v>
      </c>
      <c r="B231" s="15">
        <f>EDATE(Setup!B2,A231)</f>
        <v>53249</v>
      </c>
      <c r="C231" s="2" t="str">
        <f>IF(A231=0,"T0",IF(A231&lt;=Drivers!B19,"Preconstruction",IF(A231&lt;=(Drivers!B19+Drivers!B20),"Construction","Trading")))</f>
        <v>Trading</v>
      </c>
      <c r="D231" s="12">
        <f t="array" ref="D231">IF(AND(A231&gt;Drivers!B19,A231&lt;=(Drivers!B19+Drivers!B20)),SIN(PI()*(A231-Drivers!B19-0.5)/Drivers!B20)/SUMPRODUCT(SIN(PI()*(SEQUENCE(Drivers!B20,1)-0.5)/Drivers!B20)),0)</f>
        <v>0</v>
      </c>
      <c r="E231" s="14">
        <f>(Summary!B10+Summary!B12)*D231*(1+Drivers!B21)^(A231/12)</f>
        <v>0</v>
      </c>
      <c r="F231" s="14">
        <f>IF(AND(A231&gt;0,A231&lt;=Drivers!B19),Summary!B11*Drivers!B40/Drivers!B19*(1+Drivers!B21)^(A231/12),Summary!B11*(1-Drivers!B40 )*D231*(1+Drivers!B21)^(A231/12))</f>
        <v>0</v>
      </c>
      <c r="G231" s="14">
        <f>IF(AND(A231&gt;0,A231&lt;=2),Drivers!B16/2,0)</f>
        <v>0</v>
      </c>
      <c r="H231" s="14">
        <f>IF(A231=(Drivers!B19+Drivers!B20),Drivers!B17*(1+Drivers!B21)^(A231/12),0)</f>
        <v>0</v>
      </c>
      <c r="I231" s="14">
        <f>IF(AND(A231&gt;0,A231&lt;=(Drivers!B19+Drivers!B20)),Drivers!B18*(1+Drivers!B23)^(A231/12),0)</f>
        <v>0</v>
      </c>
      <c r="J231" s="14">
        <f t="shared" si="1"/>
        <v>0</v>
      </c>
      <c r="K231" s="12">
        <f>IF(A231&gt;(Drivers!B19+Drivers!B20),MIN(1,0.5+0.5*(A231-(Drivers!B19+Drivers!B20))/Drivers!B39),0)</f>
        <v>1</v>
      </c>
      <c r="L231" s="14">
        <f>Drivers!B2*(B231-B230)*Drivers!B24*(1+Drivers!B22)^(A231/12)*Drivers!B25*K231</f>
        <v>1712134.626</v>
      </c>
      <c r="M231" s="14">
        <f>L231*Drivers!B26</f>
        <v>342426.9252</v>
      </c>
      <c r="N231" s="14">
        <f>(L231+M231)*Drivers!B27</f>
        <v>719096.543</v>
      </c>
      <c r="O231" s="14">
        <f>IF(A231&gt;(Drivers!B19+Drivers!B20),Drivers!B28/12*(1+Drivers!B23)^(A231/12),0)</f>
        <v>704582.1507</v>
      </c>
      <c r="P231" s="14">
        <f>(L231+M231)*Drivers!B29</f>
        <v>82182.46205</v>
      </c>
      <c r="Q231" s="14">
        <f>Drivers!B3*Drivers!B30*(1+Drivers!B22)^(A231/12)*Drivers!B31*(1-Drivers!B32 )*K231</f>
        <v>134751.3363</v>
      </c>
      <c r="R231" s="14">
        <f>IF(A231&gt;(Drivers!B19+Drivers!B20),Drivers!B33/12*(1+Drivers!B23)^(A231/12),0)</f>
        <v>105687.3226</v>
      </c>
      <c r="S231" s="14">
        <f t="shared" si="2"/>
        <v>577764.4094</v>
      </c>
      <c r="T231" s="14">
        <f t="shared" si="6"/>
        <v>0</v>
      </c>
      <c r="U231" s="14">
        <f>IF(AND(A231&gt;Drivers!B19,A231&lt;=(Drivers!B19+Drivers!B20)),Summary!B31*D231,0)</f>
        <v>0</v>
      </c>
      <c r="V231" s="14">
        <f>IF(A231&lt;=(Drivers!B19+Drivers!B20),(T231+U231/2)*Drivers!B36/12,T231*Drivers!B36/12)</f>
        <v>0</v>
      </c>
      <c r="W231" s="14">
        <f>IF(A231&gt;(Drivers!B19+Drivers!B20),MIN(T231,MAX(0,Summary!B32/12-V231)),0)</f>
        <v>0</v>
      </c>
      <c r="X231" s="14">
        <f>IF(A231=(Drivers!B19+1),Summary!B31*Drivers!B38,0)</f>
        <v>0</v>
      </c>
      <c r="Y231" s="14">
        <f t="shared" si="3"/>
        <v>0</v>
      </c>
      <c r="Z231" s="14">
        <f t="shared" si="4"/>
        <v>577764.4094</v>
      </c>
      <c r="AA231" s="14">
        <f t="shared" si="7"/>
        <v>-109455594.9</v>
      </c>
      <c r="AB231" s="14">
        <f t="shared" si="5"/>
        <v>577764.4094</v>
      </c>
      <c r="AC231" s="14">
        <f>(E231+F231+G231+H231)*Drivers!B45</f>
        <v>0</v>
      </c>
      <c r="AD231" s="14">
        <f>IF(A231&lt;=Summary!B18,AB231+IF(A231=Summary!B18,Summary!B40,0),0)</f>
        <v>0</v>
      </c>
      <c r="AE231" s="14">
        <f>IF(A231&lt;=Summary!B18,Z231+IF(A231=Summary!B18,Summary!B40-Y231,0),0)</f>
        <v>0</v>
      </c>
      <c r="AF231" s="14">
        <f>AD231-IF(A231=0,Drivers!B44,0)</f>
        <v>0</v>
      </c>
      <c r="AG231" s="14">
        <f t="shared" si="8"/>
        <v>-82823477.9</v>
      </c>
    </row>
    <row r="232">
      <c r="A232" s="2">
        <v>230.0</v>
      </c>
      <c r="B232" s="15">
        <f>EDATE(Setup!B2,A232)</f>
        <v>53280</v>
      </c>
      <c r="C232" s="2" t="str">
        <f>IF(A232=0,"T0",IF(A232&lt;=Drivers!B19,"Preconstruction",IF(A232&lt;=(Drivers!B19+Drivers!B20),"Construction","Trading")))</f>
        <v>Trading</v>
      </c>
      <c r="D232" s="12">
        <f t="array" ref="D232">IF(AND(A232&gt;Drivers!B19,A232&lt;=(Drivers!B19+Drivers!B20)),SIN(PI()*(A232-Drivers!B19-0.5)/Drivers!B20)/SUMPRODUCT(SIN(PI()*(SEQUENCE(Drivers!B20,1)-0.5)/Drivers!B20)),0)</f>
        <v>0</v>
      </c>
      <c r="E232" s="14">
        <f>(Summary!B10+Summary!B12)*D232*(1+Drivers!B21)^(A232/12)</f>
        <v>0</v>
      </c>
      <c r="F232" s="14">
        <f>IF(AND(A232&gt;0,A232&lt;=Drivers!B19),Summary!B11*Drivers!B40/Drivers!B19*(1+Drivers!B21)^(A232/12),Summary!B11*(1-Drivers!B40 )*D232*(1+Drivers!B21)^(A232/12))</f>
        <v>0</v>
      </c>
      <c r="G232" s="14">
        <f>IF(AND(A232&gt;0,A232&lt;=2),Drivers!B16/2,0)</f>
        <v>0</v>
      </c>
      <c r="H232" s="14">
        <f>IF(A232=(Drivers!B19+Drivers!B20),Drivers!B17*(1+Drivers!B21)^(A232/12),0)</f>
        <v>0</v>
      </c>
      <c r="I232" s="14">
        <f>IF(AND(A232&gt;0,A232&lt;=(Drivers!B19+Drivers!B20)),Drivers!B18*(1+Drivers!B23)^(A232/12),0)</f>
        <v>0</v>
      </c>
      <c r="J232" s="14">
        <f t="shared" si="1"/>
        <v>0</v>
      </c>
      <c r="K232" s="12">
        <f>IF(A232&gt;(Drivers!B19+Drivers!B20),MIN(1,0.5+0.5*(A232-(Drivers!B19+Drivers!B20))/Drivers!B39),0)</f>
        <v>1</v>
      </c>
      <c r="L232" s="14">
        <f>Drivers!B2*(B232-B231)*Drivers!B24*(1+Drivers!B22)^(A232/12)*Drivers!B25*K232</f>
        <v>1774997.7</v>
      </c>
      <c r="M232" s="14">
        <f>L232*Drivers!B26</f>
        <v>354999.5399</v>
      </c>
      <c r="N232" s="14">
        <f>(L232+M232)*Drivers!B27</f>
        <v>745499.0338</v>
      </c>
      <c r="O232" s="14">
        <f>IF(A232&gt;(Drivers!B19+Drivers!B20),Drivers!B28/12*(1+Drivers!B23)^(A232/12),0)</f>
        <v>706888.7693</v>
      </c>
      <c r="P232" s="14">
        <f>(L232+M232)*Drivers!B29</f>
        <v>85199.88958</v>
      </c>
      <c r="Q232" s="14">
        <f>Drivers!B3*Drivers!B30*(1+Drivers!B22)^(A232/12)*Drivers!B31*(1-Drivers!B32 )*K232</f>
        <v>135192.4771</v>
      </c>
      <c r="R232" s="14">
        <f>IF(A232&gt;(Drivers!B19+Drivers!B20),Drivers!B33/12*(1+Drivers!B23)^(A232/12),0)</f>
        <v>106033.3154</v>
      </c>
      <c r="S232" s="14">
        <f t="shared" si="2"/>
        <v>621568.7086</v>
      </c>
      <c r="T232" s="14">
        <f t="shared" si="6"/>
        <v>0</v>
      </c>
      <c r="U232" s="14">
        <f>IF(AND(A232&gt;Drivers!B19,A232&lt;=(Drivers!B19+Drivers!B20)),Summary!B31*D232,0)</f>
        <v>0</v>
      </c>
      <c r="V232" s="14">
        <f>IF(A232&lt;=(Drivers!B19+Drivers!B20),(T232+U232/2)*Drivers!B36/12,T232*Drivers!B36/12)</f>
        <v>0</v>
      </c>
      <c r="W232" s="14">
        <f>IF(A232&gt;(Drivers!B19+Drivers!B20),MIN(T232,MAX(0,Summary!B32/12-V232)),0)</f>
        <v>0</v>
      </c>
      <c r="X232" s="14">
        <f>IF(A232=(Drivers!B19+1),Summary!B31*Drivers!B38,0)</f>
        <v>0</v>
      </c>
      <c r="Y232" s="14">
        <f t="shared" si="3"/>
        <v>0</v>
      </c>
      <c r="Z232" s="14">
        <f t="shared" si="4"/>
        <v>621568.7086</v>
      </c>
      <c r="AA232" s="14">
        <f t="shared" si="7"/>
        <v>-108834026.2</v>
      </c>
      <c r="AB232" s="14">
        <f t="shared" si="5"/>
        <v>621568.7086</v>
      </c>
      <c r="AC232" s="14">
        <f>(E232+F232+G232+H232)*Drivers!B45</f>
        <v>0</v>
      </c>
      <c r="AD232" s="14">
        <f>IF(A232&lt;=Summary!B18,AB232+IF(A232=Summary!B18,Summary!B40,0),0)</f>
        <v>0</v>
      </c>
      <c r="AE232" s="14">
        <f>IF(A232&lt;=Summary!B18,Z232+IF(A232=Summary!B18,Summary!B40-Y232,0),0)</f>
        <v>0</v>
      </c>
      <c r="AF232" s="14">
        <f>AD232-IF(A232=0,Drivers!B44,0)</f>
        <v>0</v>
      </c>
      <c r="AG232" s="14">
        <f t="shared" si="8"/>
        <v>-82201909.19</v>
      </c>
    </row>
    <row r="233">
      <c r="A233" s="2">
        <v>231.0</v>
      </c>
      <c r="B233" s="15">
        <f>EDATE(Setup!B2,A233)</f>
        <v>53310</v>
      </c>
      <c r="C233" s="2" t="str">
        <f>IF(A233=0,"T0",IF(A233&lt;=Drivers!B19,"Preconstruction",IF(A233&lt;=(Drivers!B19+Drivers!B20),"Construction","Trading")))</f>
        <v>Trading</v>
      </c>
      <c r="D233" s="12">
        <f t="array" ref="D233">IF(AND(A233&gt;Drivers!B19,A233&lt;=(Drivers!B19+Drivers!B20)),SIN(PI()*(A233-Drivers!B19-0.5)/Drivers!B20)/SUMPRODUCT(SIN(PI()*(SEQUENCE(Drivers!B20,1)-0.5)/Drivers!B20)),0)</f>
        <v>0</v>
      </c>
      <c r="E233" s="14">
        <f>(Summary!B10+Summary!B12)*D233*(1+Drivers!B21)^(A233/12)</f>
        <v>0</v>
      </c>
      <c r="F233" s="14">
        <f>IF(AND(A233&gt;0,A233&lt;=Drivers!B19),Summary!B11*Drivers!B40/Drivers!B19*(1+Drivers!B21)^(A233/12),Summary!B11*(1-Drivers!B40 )*D233*(1+Drivers!B21)^(A233/12))</f>
        <v>0</v>
      </c>
      <c r="G233" s="14">
        <f>IF(AND(A233&gt;0,A233&lt;=2),Drivers!B16/2,0)</f>
        <v>0</v>
      </c>
      <c r="H233" s="14">
        <f>IF(A233=(Drivers!B19+Drivers!B20),Drivers!B17*(1+Drivers!B21)^(A233/12),0)</f>
        <v>0</v>
      </c>
      <c r="I233" s="14">
        <f>IF(AND(A233&gt;0,A233&lt;=(Drivers!B19+Drivers!B20)),Drivers!B18*(1+Drivers!B23)^(A233/12),0)</f>
        <v>0</v>
      </c>
      <c r="J233" s="14">
        <f t="shared" si="1"/>
        <v>0</v>
      </c>
      <c r="K233" s="12">
        <f>IF(A233&gt;(Drivers!B19+Drivers!B20),MIN(1,0.5+0.5*(A233-(Drivers!B19+Drivers!B20))/Drivers!B39),0)</f>
        <v>1</v>
      </c>
      <c r="L233" s="14">
        <f>Drivers!B2*(B233-B232)*Drivers!B24*(1+Drivers!B22)^(A233/12)*Drivers!B25*K233</f>
        <v>1723363.142</v>
      </c>
      <c r="M233" s="14">
        <f>L233*Drivers!B26</f>
        <v>344672.6284</v>
      </c>
      <c r="N233" s="14">
        <f>(L233+M233)*Drivers!B27</f>
        <v>723812.5197</v>
      </c>
      <c r="O233" s="14">
        <f>IF(A233&gt;(Drivers!B19+Drivers!B20),Drivers!B28/12*(1+Drivers!B23)^(A233/12),0)</f>
        <v>709202.9392</v>
      </c>
      <c r="P233" s="14">
        <f>(L233+M233)*Drivers!B29</f>
        <v>82721.43082</v>
      </c>
      <c r="Q233" s="14">
        <f>Drivers!B3*Drivers!B30*(1+Drivers!B22)^(A233/12)*Drivers!B31*(1-Drivers!B32 )*K233</f>
        <v>135635.0621</v>
      </c>
      <c r="R233" s="14">
        <f>IF(A233&gt;(Drivers!B19+Drivers!B20),Drivers!B33/12*(1+Drivers!B23)^(A233/12),0)</f>
        <v>106380.4409</v>
      </c>
      <c r="S233" s="14">
        <f t="shared" si="2"/>
        <v>581553.5021</v>
      </c>
      <c r="T233" s="14">
        <f t="shared" si="6"/>
        <v>0</v>
      </c>
      <c r="U233" s="14">
        <f>IF(AND(A233&gt;Drivers!B19,A233&lt;=(Drivers!B19+Drivers!B20)),Summary!B31*D233,0)</f>
        <v>0</v>
      </c>
      <c r="V233" s="14">
        <f>IF(A233&lt;=(Drivers!B19+Drivers!B20),(T233+U233/2)*Drivers!B36/12,T233*Drivers!B36/12)</f>
        <v>0</v>
      </c>
      <c r="W233" s="14">
        <f>IF(A233&gt;(Drivers!B19+Drivers!B20),MIN(T233,MAX(0,Summary!B32/12-V233)),0)</f>
        <v>0</v>
      </c>
      <c r="X233" s="14">
        <f>IF(A233=(Drivers!B19+1),Summary!B31*Drivers!B38,0)</f>
        <v>0</v>
      </c>
      <c r="Y233" s="14">
        <f t="shared" si="3"/>
        <v>0</v>
      </c>
      <c r="Z233" s="14">
        <f t="shared" si="4"/>
        <v>581553.5021</v>
      </c>
      <c r="AA233" s="14">
        <f t="shared" si="7"/>
        <v>-108252472.7</v>
      </c>
      <c r="AB233" s="14">
        <f t="shared" si="5"/>
        <v>581553.5021</v>
      </c>
      <c r="AC233" s="14">
        <f>(E233+F233+G233+H233)*Drivers!B45</f>
        <v>0</v>
      </c>
      <c r="AD233" s="14">
        <f>IF(A233&lt;=Summary!B18,AB233+IF(A233=Summary!B18,Summary!B40,0),0)</f>
        <v>0</v>
      </c>
      <c r="AE233" s="14">
        <f>IF(A233&lt;=Summary!B18,Z233+IF(A233=Summary!B18,Summary!B40-Y233,0),0)</f>
        <v>0</v>
      </c>
      <c r="AF233" s="14">
        <f>AD233-IF(A233=0,Drivers!B44,0)</f>
        <v>0</v>
      </c>
      <c r="AG233" s="14">
        <f t="shared" si="8"/>
        <v>-81620355.69</v>
      </c>
    </row>
    <row r="234">
      <c r="A234" s="2">
        <v>232.0</v>
      </c>
      <c r="B234" s="15">
        <f>EDATE(Setup!B2,A234)</f>
        <v>53341</v>
      </c>
      <c r="C234" s="2" t="str">
        <f>IF(A234=0,"T0",IF(A234&lt;=Drivers!B19,"Preconstruction",IF(A234&lt;=(Drivers!B19+Drivers!B20),"Construction","Trading")))</f>
        <v>Trading</v>
      </c>
      <c r="D234" s="12">
        <f t="array" ref="D234">IF(AND(A234&gt;Drivers!B19,A234&lt;=(Drivers!B19+Drivers!B20)),SIN(PI()*(A234-Drivers!B19-0.5)/Drivers!B20)/SUMPRODUCT(SIN(PI()*(SEQUENCE(Drivers!B20,1)-0.5)/Drivers!B20)),0)</f>
        <v>0</v>
      </c>
      <c r="E234" s="14">
        <f>(Summary!B10+Summary!B12)*D234*(1+Drivers!B21)^(A234/12)</f>
        <v>0</v>
      </c>
      <c r="F234" s="14">
        <f>IF(AND(A234&gt;0,A234&lt;=Drivers!B19),Summary!B11*Drivers!B40/Drivers!B19*(1+Drivers!B21)^(A234/12),Summary!B11*(1-Drivers!B40 )*D234*(1+Drivers!B21)^(A234/12))</f>
        <v>0</v>
      </c>
      <c r="G234" s="14">
        <f>IF(AND(A234&gt;0,A234&lt;=2),Drivers!B16/2,0)</f>
        <v>0</v>
      </c>
      <c r="H234" s="14">
        <f>IF(A234=(Drivers!B19+Drivers!B20),Drivers!B17*(1+Drivers!B21)^(A234/12),0)</f>
        <v>0</v>
      </c>
      <c r="I234" s="14">
        <f>IF(AND(A234&gt;0,A234&lt;=(Drivers!B19+Drivers!B20)),Drivers!B18*(1+Drivers!B23)^(A234/12),0)</f>
        <v>0</v>
      </c>
      <c r="J234" s="14">
        <f t="shared" si="1"/>
        <v>0</v>
      </c>
      <c r="K234" s="12">
        <f>IF(A234&gt;(Drivers!B19+Drivers!B20),MIN(1,0.5+0.5*(A234-(Drivers!B19+Drivers!B20))/Drivers!B39),0)</f>
        <v>1</v>
      </c>
      <c r="L234" s="14">
        <f>Drivers!B2*(B234-B233)*Drivers!B24*(1+Drivers!B22)^(A234/12)*Drivers!B25*K234</f>
        <v>1786638.484</v>
      </c>
      <c r="M234" s="14">
        <f>L234*Drivers!B26</f>
        <v>357327.6968</v>
      </c>
      <c r="N234" s="14">
        <f>(L234+M234)*Drivers!B27</f>
        <v>750388.1633</v>
      </c>
      <c r="O234" s="14">
        <f>IF(A234&gt;(Drivers!B19+Drivers!B20),Drivers!B28/12*(1+Drivers!B23)^(A234/12),0)</f>
        <v>711524.685</v>
      </c>
      <c r="P234" s="14">
        <f>(L234+M234)*Drivers!B29</f>
        <v>85758.64724</v>
      </c>
      <c r="Q234" s="14">
        <f>Drivers!B3*Drivers!B30*(1+Drivers!B22)^(A234/12)*Drivers!B31*(1-Drivers!B32 )*K234</f>
        <v>136079.096</v>
      </c>
      <c r="R234" s="14">
        <f>IF(A234&gt;(Drivers!B19+Drivers!B20),Drivers!B33/12*(1+Drivers!B23)^(A234/12),0)</f>
        <v>106728.7028</v>
      </c>
      <c r="S234" s="14">
        <f t="shared" si="2"/>
        <v>625645.0786</v>
      </c>
      <c r="T234" s="14">
        <f t="shared" si="6"/>
        <v>0</v>
      </c>
      <c r="U234" s="14">
        <f>IF(AND(A234&gt;Drivers!B19,A234&lt;=(Drivers!B19+Drivers!B20)),Summary!B31*D234,0)</f>
        <v>0</v>
      </c>
      <c r="V234" s="14">
        <f>IF(A234&lt;=(Drivers!B19+Drivers!B20),(T234+U234/2)*Drivers!B36/12,T234*Drivers!B36/12)</f>
        <v>0</v>
      </c>
      <c r="W234" s="14">
        <f>IF(A234&gt;(Drivers!B19+Drivers!B20),MIN(T234,MAX(0,Summary!B32/12-V234)),0)</f>
        <v>0</v>
      </c>
      <c r="X234" s="14">
        <f>IF(A234=(Drivers!B19+1),Summary!B31*Drivers!B38,0)</f>
        <v>0</v>
      </c>
      <c r="Y234" s="14">
        <f t="shared" si="3"/>
        <v>0</v>
      </c>
      <c r="Z234" s="14">
        <f t="shared" si="4"/>
        <v>625645.0786</v>
      </c>
      <c r="AA234" s="14">
        <f t="shared" si="7"/>
        <v>-107626827.6</v>
      </c>
      <c r="AB234" s="14">
        <f t="shared" si="5"/>
        <v>625645.0786</v>
      </c>
      <c r="AC234" s="14">
        <f>(E234+F234+G234+H234)*Drivers!B45</f>
        <v>0</v>
      </c>
      <c r="AD234" s="14">
        <f>IF(A234&lt;=Summary!B18,AB234+IF(A234=Summary!B18,Summary!B40,0),0)</f>
        <v>0</v>
      </c>
      <c r="AE234" s="14">
        <f>IF(A234&lt;=Summary!B18,Z234+IF(A234=Summary!B18,Summary!B40-Y234,0),0)</f>
        <v>0</v>
      </c>
      <c r="AF234" s="14">
        <f>AD234-IF(A234=0,Drivers!B44,0)</f>
        <v>0</v>
      </c>
      <c r="AG234" s="14">
        <f t="shared" si="8"/>
        <v>-80994710.61</v>
      </c>
    </row>
    <row r="235">
      <c r="A235" s="2">
        <v>233.0</v>
      </c>
      <c r="B235" s="15">
        <f>EDATE(Setup!B2,A235)</f>
        <v>53372</v>
      </c>
      <c r="C235" s="2" t="str">
        <f>IF(A235=0,"T0",IF(A235&lt;=Drivers!B19,"Preconstruction",IF(A235&lt;=(Drivers!B19+Drivers!B20),"Construction","Trading")))</f>
        <v>Trading</v>
      </c>
      <c r="D235" s="12">
        <f t="array" ref="D235">IF(AND(A235&gt;Drivers!B19,A235&lt;=(Drivers!B19+Drivers!B20)),SIN(PI()*(A235-Drivers!B19-0.5)/Drivers!B20)/SUMPRODUCT(SIN(PI()*(SEQUENCE(Drivers!B20,1)-0.5)/Drivers!B20)),0)</f>
        <v>0</v>
      </c>
      <c r="E235" s="14">
        <f>(Summary!B10+Summary!B12)*D235*(1+Drivers!B21)^(A235/12)</f>
        <v>0</v>
      </c>
      <c r="F235" s="14">
        <f>IF(AND(A235&gt;0,A235&lt;=Drivers!B19),Summary!B11*Drivers!B40/Drivers!B19*(1+Drivers!B21)^(A235/12),Summary!B11*(1-Drivers!B40 )*D235*(1+Drivers!B21)^(A235/12))</f>
        <v>0</v>
      </c>
      <c r="G235" s="14">
        <f>IF(AND(A235&gt;0,A235&lt;=2),Drivers!B16/2,0)</f>
        <v>0</v>
      </c>
      <c r="H235" s="14">
        <f>IF(A235=(Drivers!B19+Drivers!B20),Drivers!B17*(1+Drivers!B21)^(A235/12),0)</f>
        <v>0</v>
      </c>
      <c r="I235" s="14">
        <f>IF(AND(A235&gt;0,A235&lt;=(Drivers!B19+Drivers!B20)),Drivers!B18*(1+Drivers!B23)^(A235/12),0)</f>
        <v>0</v>
      </c>
      <c r="J235" s="14">
        <f t="shared" si="1"/>
        <v>0</v>
      </c>
      <c r="K235" s="12">
        <f>IF(A235&gt;(Drivers!B19+Drivers!B20),MIN(1,0.5+0.5*(A235-(Drivers!B19+Drivers!B20))/Drivers!B39),0)</f>
        <v>1</v>
      </c>
      <c r="L235" s="14">
        <f>Drivers!B2*(B235-B234)*Drivers!B24*(1+Drivers!B22)^(A235/12)*Drivers!B25*K235</f>
        <v>1792487.474</v>
      </c>
      <c r="M235" s="14">
        <f>L235*Drivers!B26</f>
        <v>358497.4947</v>
      </c>
      <c r="N235" s="14">
        <f>(L235+M235)*Drivers!B27</f>
        <v>752844.7389</v>
      </c>
      <c r="O235" s="14">
        <f>IF(A235&gt;(Drivers!B19+Drivers!B20),Drivers!B28/12*(1+Drivers!B23)^(A235/12),0)</f>
        <v>713854.0317</v>
      </c>
      <c r="P235" s="14">
        <f>(L235+M235)*Drivers!B29</f>
        <v>86039.39873</v>
      </c>
      <c r="Q235" s="14">
        <f>Drivers!B3*Drivers!B30*(1+Drivers!B22)^(A235/12)*Drivers!B31*(1-Drivers!B32 )*K235</f>
        <v>136524.5836</v>
      </c>
      <c r="R235" s="14">
        <f>IF(A235&gt;(Drivers!B19+Drivers!B20),Drivers!B33/12*(1+Drivers!B23)^(A235/12),0)</f>
        <v>107078.1048</v>
      </c>
      <c r="S235" s="14">
        <f t="shared" si="2"/>
        <v>627693.2778</v>
      </c>
      <c r="T235" s="14">
        <f t="shared" si="6"/>
        <v>0</v>
      </c>
      <c r="U235" s="14">
        <f>IF(AND(A235&gt;Drivers!B19,A235&lt;=(Drivers!B19+Drivers!B20)),Summary!B31*D235,0)</f>
        <v>0</v>
      </c>
      <c r="V235" s="14">
        <f>IF(A235&lt;=(Drivers!B19+Drivers!B20),(T235+U235/2)*Drivers!B36/12,T235*Drivers!B36/12)</f>
        <v>0</v>
      </c>
      <c r="W235" s="14">
        <f>IF(A235&gt;(Drivers!B19+Drivers!B20),MIN(T235,MAX(0,Summary!B32/12-V235)),0)</f>
        <v>0</v>
      </c>
      <c r="X235" s="14">
        <f>IF(A235=(Drivers!B19+1),Summary!B31*Drivers!B38,0)</f>
        <v>0</v>
      </c>
      <c r="Y235" s="14">
        <f t="shared" si="3"/>
        <v>0</v>
      </c>
      <c r="Z235" s="14">
        <f t="shared" si="4"/>
        <v>627693.2778</v>
      </c>
      <c r="AA235" s="14">
        <f t="shared" si="7"/>
        <v>-106999134.3</v>
      </c>
      <c r="AB235" s="14">
        <f t="shared" si="5"/>
        <v>627693.2778</v>
      </c>
      <c r="AC235" s="14">
        <f>(E235+F235+G235+H235)*Drivers!B45</f>
        <v>0</v>
      </c>
      <c r="AD235" s="14">
        <f>IF(A235&lt;=Summary!B18,AB235+IF(A235=Summary!B18,Summary!B40,0),0)</f>
        <v>0</v>
      </c>
      <c r="AE235" s="14">
        <f>IF(A235&lt;=Summary!B18,Z235+IF(A235=Summary!B18,Summary!B40-Y235,0),0)</f>
        <v>0</v>
      </c>
      <c r="AF235" s="14">
        <f>AD235-IF(A235=0,Drivers!B44,0)</f>
        <v>0</v>
      </c>
      <c r="AG235" s="14">
        <f t="shared" si="8"/>
        <v>-80367017.33</v>
      </c>
    </row>
    <row r="236">
      <c r="A236" s="2">
        <v>234.0</v>
      </c>
      <c r="B236" s="15">
        <f>EDATE(Setup!B2,A236)</f>
        <v>53400</v>
      </c>
      <c r="C236" s="2" t="str">
        <f>IF(A236=0,"T0",IF(A236&lt;=Drivers!B19,"Preconstruction",IF(A236&lt;=(Drivers!B19+Drivers!B20),"Construction","Trading")))</f>
        <v>Trading</v>
      </c>
      <c r="D236" s="12">
        <f t="array" ref="D236">IF(AND(A236&gt;Drivers!B19,A236&lt;=(Drivers!B19+Drivers!B20)),SIN(PI()*(A236-Drivers!B19-0.5)/Drivers!B20)/SUMPRODUCT(SIN(PI()*(SEQUENCE(Drivers!B20,1)-0.5)/Drivers!B20)),0)</f>
        <v>0</v>
      </c>
      <c r="E236" s="14">
        <f>(Summary!B10+Summary!B12)*D236*(1+Drivers!B21)^(A236/12)</f>
        <v>0</v>
      </c>
      <c r="F236" s="14">
        <f>IF(AND(A236&gt;0,A236&lt;=Drivers!B19),Summary!B11*Drivers!B40/Drivers!B19*(1+Drivers!B21)^(A236/12),Summary!B11*(1-Drivers!B40 )*D236*(1+Drivers!B21)^(A236/12))</f>
        <v>0</v>
      </c>
      <c r="G236" s="14">
        <f>IF(AND(A236&gt;0,A236&lt;=2),Drivers!B16/2,0)</f>
        <v>0</v>
      </c>
      <c r="H236" s="14">
        <f>IF(A236=(Drivers!B19+Drivers!B20),Drivers!B17*(1+Drivers!B21)^(A236/12),0)</f>
        <v>0</v>
      </c>
      <c r="I236" s="14">
        <f>IF(AND(A236&gt;0,A236&lt;=(Drivers!B19+Drivers!B20)),Drivers!B18*(1+Drivers!B23)^(A236/12),0)</f>
        <v>0</v>
      </c>
      <c r="J236" s="14">
        <f t="shared" si="1"/>
        <v>0</v>
      </c>
      <c r="K236" s="12">
        <f>IF(A236&gt;(Drivers!B19+Drivers!B20),MIN(1,0.5+0.5*(A236-(Drivers!B19+Drivers!B20))/Drivers!B39),0)</f>
        <v>1</v>
      </c>
      <c r="L236" s="14">
        <f>Drivers!B2*(B236-B235)*Drivers!B24*(1+Drivers!B22)^(A236/12)*Drivers!B25*K236</f>
        <v>1624321.197</v>
      </c>
      <c r="M236" s="14">
        <f>L236*Drivers!B26</f>
        <v>324864.2394</v>
      </c>
      <c r="N236" s="14">
        <f>(L236+M236)*Drivers!B27</f>
        <v>682214.9028</v>
      </c>
      <c r="O236" s="14">
        <f>IF(A236&gt;(Drivers!B19+Drivers!B20),Drivers!B28/12*(1+Drivers!B23)^(A236/12),0)</f>
        <v>716191.004</v>
      </c>
      <c r="P236" s="14">
        <f>(L236+M236)*Drivers!B29</f>
        <v>77967.41746</v>
      </c>
      <c r="Q236" s="14">
        <f>Drivers!B3*Drivers!B30*(1+Drivers!B22)^(A236/12)*Drivers!B31*(1-Drivers!B32 )*K236</f>
        <v>136971.5295</v>
      </c>
      <c r="R236" s="14">
        <f>IF(A236&gt;(Drivers!B19+Drivers!B20),Drivers!B33/12*(1+Drivers!B23)^(A236/12),0)</f>
        <v>107428.6506</v>
      </c>
      <c r="S236" s="14">
        <f t="shared" si="2"/>
        <v>502354.9912</v>
      </c>
      <c r="T236" s="14">
        <f t="shared" si="6"/>
        <v>0</v>
      </c>
      <c r="U236" s="14">
        <f>IF(AND(A236&gt;Drivers!B19,A236&lt;=(Drivers!B19+Drivers!B20)),Summary!B31*D236,0)</f>
        <v>0</v>
      </c>
      <c r="V236" s="14">
        <f>IF(A236&lt;=(Drivers!B19+Drivers!B20),(T236+U236/2)*Drivers!B36/12,T236*Drivers!B36/12)</f>
        <v>0</v>
      </c>
      <c r="W236" s="14">
        <f>IF(A236&gt;(Drivers!B19+Drivers!B20),MIN(T236,MAX(0,Summary!B32/12-V236)),0)</f>
        <v>0</v>
      </c>
      <c r="X236" s="14">
        <f>IF(A236=(Drivers!B19+1),Summary!B31*Drivers!B38,0)</f>
        <v>0</v>
      </c>
      <c r="Y236" s="14">
        <f t="shared" si="3"/>
        <v>0</v>
      </c>
      <c r="Z236" s="14">
        <f t="shared" si="4"/>
        <v>502354.9912</v>
      </c>
      <c r="AA236" s="14">
        <f t="shared" si="7"/>
        <v>-106496779.4</v>
      </c>
      <c r="AB236" s="14">
        <f t="shared" si="5"/>
        <v>502354.9912</v>
      </c>
      <c r="AC236" s="14">
        <f>(E236+F236+G236+H236)*Drivers!B45</f>
        <v>0</v>
      </c>
      <c r="AD236" s="14">
        <f>IF(A236&lt;=Summary!B18,AB236+IF(A236=Summary!B18,Summary!B40,0),0)</f>
        <v>0</v>
      </c>
      <c r="AE236" s="14">
        <f>IF(A236&lt;=Summary!B18,Z236+IF(A236=Summary!B18,Summary!B40-Y236,0),0)</f>
        <v>0</v>
      </c>
      <c r="AF236" s="14">
        <f>AD236-IF(A236=0,Drivers!B44,0)</f>
        <v>0</v>
      </c>
      <c r="AG236" s="14">
        <f t="shared" si="8"/>
        <v>-79864662.34</v>
      </c>
    </row>
    <row r="237">
      <c r="A237" s="2">
        <v>235.0</v>
      </c>
      <c r="B237" s="15">
        <f>EDATE(Setup!B2,A237)</f>
        <v>53431</v>
      </c>
      <c r="C237" s="2" t="str">
        <f>IF(A237=0,"T0",IF(A237&lt;=Drivers!B19,"Preconstruction",IF(A237&lt;=(Drivers!B19+Drivers!B20),"Construction","Trading")))</f>
        <v>Trading</v>
      </c>
      <c r="D237" s="12">
        <f t="array" ref="D237">IF(AND(A237&gt;Drivers!B19,A237&lt;=(Drivers!B19+Drivers!B20)),SIN(PI()*(A237-Drivers!B19-0.5)/Drivers!B20)/SUMPRODUCT(SIN(PI()*(SEQUENCE(Drivers!B20,1)-0.5)/Drivers!B20)),0)</f>
        <v>0</v>
      </c>
      <c r="E237" s="14">
        <f>(Summary!B10+Summary!B12)*D237*(1+Drivers!B21)^(A237/12)</f>
        <v>0</v>
      </c>
      <c r="F237" s="14">
        <f>IF(AND(A237&gt;0,A237&lt;=Drivers!B19),Summary!B11*Drivers!B40/Drivers!B19*(1+Drivers!B21)^(A237/12),Summary!B11*(1-Drivers!B40 )*D237*(1+Drivers!B21)^(A237/12))</f>
        <v>0</v>
      </c>
      <c r="G237" s="14">
        <f>IF(AND(A237&gt;0,A237&lt;=2),Drivers!B16/2,0)</f>
        <v>0</v>
      </c>
      <c r="H237" s="14">
        <f>IF(A237=(Drivers!B19+Drivers!B20),Drivers!B17*(1+Drivers!B21)^(A237/12),0)</f>
        <v>0</v>
      </c>
      <c r="I237" s="14">
        <f>IF(AND(A237&gt;0,A237&lt;=(Drivers!B19+Drivers!B20)),Drivers!B18*(1+Drivers!B23)^(A237/12),0)</f>
        <v>0</v>
      </c>
      <c r="J237" s="14">
        <f t="shared" si="1"/>
        <v>0</v>
      </c>
      <c r="K237" s="12">
        <f>IF(A237&gt;(Drivers!B19+Drivers!B20),MIN(1,0.5+0.5*(A237-(Drivers!B19+Drivers!B20))/Drivers!B39),0)</f>
        <v>1</v>
      </c>
      <c r="L237" s="14">
        <f>Drivers!B2*(B237-B236)*Drivers!B24*(1+Drivers!B22)^(A237/12)*Drivers!B25*K237</f>
        <v>1804242.959</v>
      </c>
      <c r="M237" s="14">
        <f>L237*Drivers!B26</f>
        <v>360848.5919</v>
      </c>
      <c r="N237" s="14">
        <f>(L237+M237)*Drivers!B27</f>
        <v>757782.043</v>
      </c>
      <c r="O237" s="14">
        <f>IF(A237&gt;(Drivers!B19+Drivers!B20),Drivers!B28/12*(1+Drivers!B23)^(A237/12),0)</f>
        <v>718535.627</v>
      </c>
      <c r="P237" s="14">
        <f>(L237+M237)*Drivers!B29</f>
        <v>86603.66205</v>
      </c>
      <c r="Q237" s="14">
        <f>Drivers!B3*Drivers!B30*(1+Drivers!B22)^(A237/12)*Drivers!B31*(1-Drivers!B32 )*K237</f>
        <v>137419.9387</v>
      </c>
      <c r="R237" s="14">
        <f>IF(A237&gt;(Drivers!B19+Drivers!B20),Drivers!B33/12*(1+Drivers!B23)^(A237/12),0)</f>
        <v>107780.3441</v>
      </c>
      <c r="S237" s="14">
        <f t="shared" si="2"/>
        <v>631809.8139</v>
      </c>
      <c r="T237" s="14">
        <f t="shared" si="6"/>
        <v>0</v>
      </c>
      <c r="U237" s="14">
        <f>IF(AND(A237&gt;Drivers!B19,A237&lt;=(Drivers!B19+Drivers!B20)),Summary!B31*D237,0)</f>
        <v>0</v>
      </c>
      <c r="V237" s="14">
        <f>IF(A237&lt;=(Drivers!B19+Drivers!B20),(T237+U237/2)*Drivers!B36/12,T237*Drivers!B36/12)</f>
        <v>0</v>
      </c>
      <c r="W237" s="14">
        <f>IF(A237&gt;(Drivers!B19+Drivers!B20),MIN(T237,MAX(0,Summary!B32/12-V237)),0)</f>
        <v>0</v>
      </c>
      <c r="X237" s="14">
        <f>IF(A237=(Drivers!B19+1),Summary!B31*Drivers!B38,0)</f>
        <v>0</v>
      </c>
      <c r="Y237" s="14">
        <f t="shared" si="3"/>
        <v>0</v>
      </c>
      <c r="Z237" s="14">
        <f t="shared" si="4"/>
        <v>631809.8139</v>
      </c>
      <c r="AA237" s="14">
        <f t="shared" si="7"/>
        <v>-105864969.5</v>
      </c>
      <c r="AB237" s="14">
        <f t="shared" si="5"/>
        <v>631809.8139</v>
      </c>
      <c r="AC237" s="14">
        <f>(E237+F237+G237+H237)*Drivers!B45</f>
        <v>0</v>
      </c>
      <c r="AD237" s="14">
        <f>IF(A237&lt;=Summary!B18,AB237+IF(A237=Summary!B18,Summary!B40,0),0)</f>
        <v>0</v>
      </c>
      <c r="AE237" s="14">
        <f>IF(A237&lt;=Summary!B18,Z237+IF(A237=Summary!B18,Summary!B40-Y237,0),0)</f>
        <v>0</v>
      </c>
      <c r="AF237" s="14">
        <f>AD237-IF(A237=0,Drivers!B44,0)</f>
        <v>0</v>
      </c>
      <c r="AG237" s="14">
        <f t="shared" si="8"/>
        <v>-79232852.53</v>
      </c>
    </row>
    <row r="238">
      <c r="A238" s="2">
        <v>236.0</v>
      </c>
      <c r="B238" s="15">
        <f>EDATE(Setup!B2,A238)</f>
        <v>53461</v>
      </c>
      <c r="C238" s="2" t="str">
        <f>IF(A238=0,"T0",IF(A238&lt;=Drivers!B19,"Preconstruction",IF(A238&lt;=(Drivers!B19+Drivers!B20),"Construction","Trading")))</f>
        <v>Trading</v>
      </c>
      <c r="D238" s="12">
        <f t="array" ref="D238">IF(AND(A238&gt;Drivers!B19,A238&lt;=(Drivers!B19+Drivers!B20)),SIN(PI()*(A238-Drivers!B19-0.5)/Drivers!B20)/SUMPRODUCT(SIN(PI()*(SEQUENCE(Drivers!B20,1)-0.5)/Drivers!B20)),0)</f>
        <v>0</v>
      </c>
      <c r="E238" s="14">
        <f>(Summary!B10+Summary!B12)*D238*(1+Drivers!B21)^(A238/12)</f>
        <v>0</v>
      </c>
      <c r="F238" s="14">
        <f>IF(AND(A238&gt;0,A238&lt;=Drivers!B19),Summary!B11*Drivers!B40/Drivers!B19*(1+Drivers!B21)^(A238/12),Summary!B11*(1-Drivers!B40 )*D238*(1+Drivers!B21)^(A238/12))</f>
        <v>0</v>
      </c>
      <c r="G238" s="14">
        <f>IF(AND(A238&gt;0,A238&lt;=2),Drivers!B16/2,0)</f>
        <v>0</v>
      </c>
      <c r="H238" s="14">
        <f>IF(A238=(Drivers!B19+Drivers!B20),Drivers!B17*(1+Drivers!B21)^(A238/12),0)</f>
        <v>0</v>
      </c>
      <c r="I238" s="14">
        <f>IF(AND(A238&gt;0,A238&lt;=(Drivers!B19+Drivers!B20)),Drivers!B18*(1+Drivers!B23)^(A238/12),0)</f>
        <v>0</v>
      </c>
      <c r="J238" s="14">
        <f t="shared" si="1"/>
        <v>0</v>
      </c>
      <c r="K238" s="12">
        <f>IF(A238&gt;(Drivers!B19+Drivers!B20),MIN(1,0.5+0.5*(A238-(Drivers!B19+Drivers!B20))/Drivers!B39),0)</f>
        <v>1</v>
      </c>
      <c r="L238" s="14">
        <f>Drivers!B2*(B238-B237)*Drivers!B24*(1+Drivers!B22)^(A238/12)*Drivers!B25*K238</f>
        <v>1751757.659</v>
      </c>
      <c r="M238" s="14">
        <f>L238*Drivers!B26</f>
        <v>350351.5319</v>
      </c>
      <c r="N238" s="14">
        <f>(L238+M238)*Drivers!B27</f>
        <v>735738.217</v>
      </c>
      <c r="O238" s="14">
        <f>IF(A238&gt;(Drivers!B19+Drivers!B20),Drivers!B28/12*(1+Drivers!B23)^(A238/12),0)</f>
        <v>720887.9257</v>
      </c>
      <c r="P238" s="14">
        <f>(L238+M238)*Drivers!B29</f>
        <v>84084.36765</v>
      </c>
      <c r="Q238" s="14">
        <f>Drivers!B3*Drivers!B30*(1+Drivers!B22)^(A238/12)*Drivers!B31*(1-Drivers!B32 )*K238</f>
        <v>137869.8158</v>
      </c>
      <c r="R238" s="14">
        <f>IF(A238&gt;(Drivers!B19+Drivers!B20),Drivers!B33/12*(1+Drivers!B23)^(A238/12),0)</f>
        <v>108133.1889</v>
      </c>
      <c r="S238" s="14">
        <f t="shared" si="2"/>
        <v>591135.3079</v>
      </c>
      <c r="T238" s="14">
        <f t="shared" si="6"/>
        <v>0</v>
      </c>
      <c r="U238" s="14">
        <f>IF(AND(A238&gt;Drivers!B19,A238&lt;=(Drivers!B19+Drivers!B20)),Summary!B31*D238,0)</f>
        <v>0</v>
      </c>
      <c r="V238" s="14">
        <f>IF(A238&lt;=(Drivers!B19+Drivers!B20),(T238+U238/2)*Drivers!B36/12,T238*Drivers!B36/12)</f>
        <v>0</v>
      </c>
      <c r="W238" s="14">
        <f>IF(A238&gt;(Drivers!B19+Drivers!B20),MIN(T238,MAX(0,Summary!B32/12-V238)),0)</f>
        <v>0</v>
      </c>
      <c r="X238" s="14">
        <f>IF(A238=(Drivers!B19+1),Summary!B31*Drivers!B38,0)</f>
        <v>0</v>
      </c>
      <c r="Y238" s="14">
        <f t="shared" si="3"/>
        <v>0</v>
      </c>
      <c r="Z238" s="14">
        <f t="shared" si="4"/>
        <v>591135.3079</v>
      </c>
      <c r="AA238" s="14">
        <f t="shared" si="7"/>
        <v>-105273834.2</v>
      </c>
      <c r="AB238" s="14">
        <f t="shared" si="5"/>
        <v>591135.3079</v>
      </c>
      <c r="AC238" s="14">
        <f>(E238+F238+G238+H238)*Drivers!B45</f>
        <v>0</v>
      </c>
      <c r="AD238" s="14">
        <f>IF(A238&lt;=Summary!B18,AB238+IF(A238=Summary!B18,Summary!B40,0),0)</f>
        <v>0</v>
      </c>
      <c r="AE238" s="14">
        <f>IF(A238&lt;=Summary!B18,Z238+IF(A238=Summary!B18,Summary!B40-Y238,0),0)</f>
        <v>0</v>
      </c>
      <c r="AF238" s="14">
        <f>AD238-IF(A238=0,Drivers!B44,0)</f>
        <v>0</v>
      </c>
      <c r="AG238" s="14">
        <f t="shared" si="8"/>
        <v>-78641717.22</v>
      </c>
    </row>
    <row r="239">
      <c r="A239" s="2">
        <v>237.0</v>
      </c>
      <c r="B239" s="15">
        <f>EDATE(Setup!B2,A239)</f>
        <v>53492</v>
      </c>
      <c r="C239" s="2" t="str">
        <f>IF(A239=0,"T0",IF(A239&lt;=Drivers!B19,"Preconstruction",IF(A239&lt;=(Drivers!B19+Drivers!B20),"Construction","Trading")))</f>
        <v>Trading</v>
      </c>
      <c r="D239" s="12">
        <f t="array" ref="D239">IF(AND(A239&gt;Drivers!B19,A239&lt;=(Drivers!B19+Drivers!B20)),SIN(PI()*(A239-Drivers!B19-0.5)/Drivers!B20)/SUMPRODUCT(SIN(PI()*(SEQUENCE(Drivers!B20,1)-0.5)/Drivers!B20)),0)</f>
        <v>0</v>
      </c>
      <c r="E239" s="14">
        <f>(Summary!B10+Summary!B12)*D239*(1+Drivers!B21)^(A239/12)</f>
        <v>0</v>
      </c>
      <c r="F239" s="14">
        <f>IF(AND(A239&gt;0,A239&lt;=Drivers!B19),Summary!B11*Drivers!B40/Drivers!B19*(1+Drivers!B21)^(A239/12),Summary!B11*(1-Drivers!B40 )*D239*(1+Drivers!B21)^(A239/12))</f>
        <v>0</v>
      </c>
      <c r="G239" s="14">
        <f>IF(AND(A239&gt;0,A239&lt;=2),Drivers!B16/2,0)</f>
        <v>0</v>
      </c>
      <c r="H239" s="14">
        <f>IF(A239=(Drivers!B19+Drivers!B20),Drivers!B17*(1+Drivers!B21)^(A239/12),0)</f>
        <v>0</v>
      </c>
      <c r="I239" s="14">
        <f>IF(AND(A239&gt;0,A239&lt;=(Drivers!B19+Drivers!B20)),Drivers!B18*(1+Drivers!B23)^(A239/12),0)</f>
        <v>0</v>
      </c>
      <c r="J239" s="14">
        <f t="shared" si="1"/>
        <v>0</v>
      </c>
      <c r="K239" s="12">
        <f>IF(A239&gt;(Drivers!B19+Drivers!B20),MIN(1,0.5+0.5*(A239-(Drivers!B19+Drivers!B20))/Drivers!B39),0)</f>
        <v>1</v>
      </c>
      <c r="L239" s="14">
        <f>Drivers!B2*(B239-B238)*Drivers!B24*(1+Drivers!B22)^(A239/12)*Drivers!B25*K239</f>
        <v>1816075.54</v>
      </c>
      <c r="M239" s="14">
        <f>L239*Drivers!B26</f>
        <v>363215.108</v>
      </c>
      <c r="N239" s="14">
        <f>(L239+M239)*Drivers!B27</f>
        <v>762751.7268</v>
      </c>
      <c r="O239" s="14">
        <f>IF(A239&gt;(Drivers!B19+Drivers!B20),Drivers!B28/12*(1+Drivers!B23)^(A239/12),0)</f>
        <v>723247.9252</v>
      </c>
      <c r="P239" s="14">
        <f>(L239+M239)*Drivers!B29</f>
        <v>87171.62592</v>
      </c>
      <c r="Q239" s="14">
        <f>Drivers!B3*Drivers!B30*(1+Drivers!B22)^(A239/12)*Drivers!B31*(1-Drivers!B32 )*K239</f>
        <v>138321.1657</v>
      </c>
      <c r="R239" s="14">
        <f>IF(A239&gt;(Drivers!B19+Drivers!B20),Drivers!B33/12*(1+Drivers!B23)^(A239/12),0)</f>
        <v>108487.1888</v>
      </c>
      <c r="S239" s="14">
        <f t="shared" si="2"/>
        <v>635953.3471</v>
      </c>
      <c r="T239" s="14">
        <f t="shared" si="6"/>
        <v>0</v>
      </c>
      <c r="U239" s="14">
        <f>IF(AND(A239&gt;Drivers!B19,A239&lt;=(Drivers!B19+Drivers!B20)),Summary!B31*D239,0)</f>
        <v>0</v>
      </c>
      <c r="V239" s="14">
        <f>IF(A239&lt;=(Drivers!B19+Drivers!B20),(T239+U239/2)*Drivers!B36/12,T239*Drivers!B36/12)</f>
        <v>0</v>
      </c>
      <c r="W239" s="14">
        <f>IF(A239&gt;(Drivers!B19+Drivers!B20),MIN(T239,MAX(0,Summary!B32/12-V239)),0)</f>
        <v>0</v>
      </c>
      <c r="X239" s="14">
        <f>IF(A239=(Drivers!B19+1),Summary!B31*Drivers!B38,0)</f>
        <v>0</v>
      </c>
      <c r="Y239" s="14">
        <f t="shared" si="3"/>
        <v>0</v>
      </c>
      <c r="Z239" s="14">
        <f t="shared" si="4"/>
        <v>635953.3471</v>
      </c>
      <c r="AA239" s="14">
        <f t="shared" si="7"/>
        <v>-104637880.9</v>
      </c>
      <c r="AB239" s="14">
        <f t="shared" si="5"/>
        <v>635953.3471</v>
      </c>
      <c r="AC239" s="14">
        <f>(E239+F239+G239+H239)*Drivers!B45</f>
        <v>0</v>
      </c>
      <c r="AD239" s="14">
        <f>IF(A239&lt;=Summary!B18,AB239+IF(A239=Summary!B18,Summary!B40,0),0)</f>
        <v>0</v>
      </c>
      <c r="AE239" s="14">
        <f>IF(A239&lt;=Summary!B18,Z239+IF(A239=Summary!B18,Summary!B40-Y239,0),0)</f>
        <v>0</v>
      </c>
      <c r="AF239" s="14">
        <f>AD239-IF(A239=0,Drivers!B44,0)</f>
        <v>0</v>
      </c>
      <c r="AG239" s="14">
        <f t="shared" si="8"/>
        <v>-78005763.87</v>
      </c>
    </row>
    <row r="240">
      <c r="A240" s="2">
        <v>238.0</v>
      </c>
      <c r="B240" s="15">
        <f>EDATE(Setup!B2,A240)</f>
        <v>53522</v>
      </c>
      <c r="C240" s="2" t="str">
        <f>IF(A240=0,"T0",IF(A240&lt;=Drivers!B19,"Preconstruction",IF(A240&lt;=(Drivers!B19+Drivers!B20),"Construction","Trading")))</f>
        <v>Trading</v>
      </c>
      <c r="D240" s="12">
        <f t="array" ref="D240">IF(AND(A240&gt;Drivers!B19,A240&lt;=(Drivers!B19+Drivers!B20)),SIN(PI()*(A240-Drivers!B19-0.5)/Drivers!B20)/SUMPRODUCT(SIN(PI()*(SEQUENCE(Drivers!B20,1)-0.5)/Drivers!B20)),0)</f>
        <v>0</v>
      </c>
      <c r="E240" s="14">
        <f>(Summary!B10+Summary!B12)*D240*(1+Drivers!B21)^(A240/12)</f>
        <v>0</v>
      </c>
      <c r="F240" s="14">
        <f>IF(AND(A240&gt;0,A240&lt;=Drivers!B19),Summary!B11*Drivers!B40/Drivers!B19*(1+Drivers!B21)^(A240/12),Summary!B11*(1-Drivers!B40 )*D240*(1+Drivers!B21)^(A240/12))</f>
        <v>0</v>
      </c>
      <c r="G240" s="14">
        <f>IF(AND(A240&gt;0,A240&lt;=2),Drivers!B16/2,0)</f>
        <v>0</v>
      </c>
      <c r="H240" s="14">
        <f>IF(A240=(Drivers!B19+Drivers!B20),Drivers!B17*(1+Drivers!B21)^(A240/12),0)</f>
        <v>0</v>
      </c>
      <c r="I240" s="14">
        <f>IF(AND(A240&gt;0,A240&lt;=(Drivers!B19+Drivers!B20)),Drivers!B18*(1+Drivers!B23)^(A240/12),0)</f>
        <v>0</v>
      </c>
      <c r="J240" s="14">
        <f t="shared" si="1"/>
        <v>0</v>
      </c>
      <c r="K240" s="12">
        <f>IF(A240&gt;(Drivers!B19+Drivers!B20),MIN(1,0.5+0.5*(A240-(Drivers!B19+Drivers!B20))/Drivers!B39),0)</f>
        <v>1</v>
      </c>
      <c r="L240" s="14">
        <f>Drivers!B2*(B240-B239)*Drivers!B24*(1+Drivers!B22)^(A240/12)*Drivers!B25*K240</f>
        <v>1763246.031</v>
      </c>
      <c r="M240" s="14">
        <f>L240*Drivers!B26</f>
        <v>352649.2062</v>
      </c>
      <c r="N240" s="14">
        <f>(L240+M240)*Drivers!B27</f>
        <v>740563.3331</v>
      </c>
      <c r="O240" s="14">
        <f>IF(A240&gt;(Drivers!B19+Drivers!B20),Drivers!B28/12*(1+Drivers!B23)^(A240/12),0)</f>
        <v>725615.6507</v>
      </c>
      <c r="P240" s="14">
        <f>(L240+M240)*Drivers!B29</f>
        <v>84635.80949</v>
      </c>
      <c r="Q240" s="14">
        <f>Drivers!B3*Drivers!B30*(1+Drivers!B22)^(A240/12)*Drivers!B31*(1-Drivers!B32 )*K240</f>
        <v>138773.9932</v>
      </c>
      <c r="R240" s="14">
        <f>IF(A240&gt;(Drivers!B19+Drivers!B20),Drivers!B33/12*(1+Drivers!B23)^(A240/12),0)</f>
        <v>108842.3476</v>
      </c>
      <c r="S240" s="14">
        <f t="shared" si="2"/>
        <v>595012.0897</v>
      </c>
      <c r="T240" s="14">
        <f t="shared" si="6"/>
        <v>0</v>
      </c>
      <c r="U240" s="14">
        <f>IF(AND(A240&gt;Drivers!B19,A240&lt;=(Drivers!B19+Drivers!B20)),Summary!B31*D240,0)</f>
        <v>0</v>
      </c>
      <c r="V240" s="14">
        <f>IF(A240&lt;=(Drivers!B19+Drivers!B20),(T240+U240/2)*Drivers!B36/12,T240*Drivers!B36/12)</f>
        <v>0</v>
      </c>
      <c r="W240" s="14">
        <f>IF(A240&gt;(Drivers!B19+Drivers!B20),MIN(T240,MAX(0,Summary!B32/12-V240)),0)</f>
        <v>0</v>
      </c>
      <c r="X240" s="14">
        <f>IF(A240=(Drivers!B19+1),Summary!B31*Drivers!B38,0)</f>
        <v>0</v>
      </c>
      <c r="Y240" s="14">
        <f t="shared" si="3"/>
        <v>0</v>
      </c>
      <c r="Z240" s="14">
        <f t="shared" si="4"/>
        <v>595012.0897</v>
      </c>
      <c r="AA240" s="14">
        <f t="shared" si="7"/>
        <v>-104042868.8</v>
      </c>
      <c r="AB240" s="14">
        <f t="shared" si="5"/>
        <v>595012.0897</v>
      </c>
      <c r="AC240" s="14">
        <f>(E240+F240+G240+H240)*Drivers!B45</f>
        <v>0</v>
      </c>
      <c r="AD240" s="14">
        <f>IF(A240&lt;=Summary!B18,AB240+IF(A240=Summary!B18,Summary!B40,0),0)</f>
        <v>0</v>
      </c>
      <c r="AE240" s="14">
        <f>IF(A240&lt;=Summary!B18,Z240+IF(A240=Summary!B18,Summary!B40-Y240,0),0)</f>
        <v>0</v>
      </c>
      <c r="AF240" s="14">
        <f>AD240-IF(A240=0,Drivers!B44,0)</f>
        <v>0</v>
      </c>
      <c r="AG240" s="14">
        <f t="shared" si="8"/>
        <v>-77410751.78</v>
      </c>
    </row>
    <row r="241">
      <c r="A241" s="2">
        <v>239.0</v>
      </c>
      <c r="B241" s="15">
        <f>EDATE(Setup!B2,A241)</f>
        <v>53553</v>
      </c>
      <c r="C241" s="2" t="str">
        <f>IF(A241=0,"T0",IF(A241&lt;=Drivers!B19,"Preconstruction",IF(A241&lt;=(Drivers!B19+Drivers!B20),"Construction","Trading")))</f>
        <v>Trading</v>
      </c>
      <c r="D241" s="12">
        <f t="array" ref="D241">IF(AND(A241&gt;Drivers!B19,A241&lt;=(Drivers!B19+Drivers!B20)),SIN(PI()*(A241-Drivers!B19-0.5)/Drivers!B20)/SUMPRODUCT(SIN(PI()*(SEQUENCE(Drivers!B20,1)-0.5)/Drivers!B20)),0)</f>
        <v>0</v>
      </c>
      <c r="E241" s="14">
        <f>(Summary!B10+Summary!B12)*D241*(1+Drivers!B21)^(A241/12)</f>
        <v>0</v>
      </c>
      <c r="F241" s="14">
        <f>IF(AND(A241&gt;0,A241&lt;=Drivers!B19),Summary!B11*Drivers!B40/Drivers!B19*(1+Drivers!B21)^(A241/12),Summary!B11*(1-Drivers!B40 )*D241*(1+Drivers!B21)^(A241/12))</f>
        <v>0</v>
      </c>
      <c r="G241" s="14">
        <f>IF(AND(A241&gt;0,A241&lt;=2),Drivers!B16/2,0)</f>
        <v>0</v>
      </c>
      <c r="H241" s="14">
        <f>IF(A241=(Drivers!B19+Drivers!B20),Drivers!B17*(1+Drivers!B21)^(A241/12),0)</f>
        <v>0</v>
      </c>
      <c r="I241" s="14">
        <f>IF(AND(A241&gt;0,A241&lt;=(Drivers!B19+Drivers!B20)),Drivers!B18*(1+Drivers!B23)^(A241/12),0)</f>
        <v>0</v>
      </c>
      <c r="J241" s="14">
        <f t="shared" si="1"/>
        <v>0</v>
      </c>
      <c r="K241" s="12">
        <f>IF(A241&gt;(Drivers!B19+Drivers!B20),MIN(1,0.5+0.5*(A241-(Drivers!B19+Drivers!B20))/Drivers!B39),0)</f>
        <v>1</v>
      </c>
      <c r="L241" s="14">
        <f>Drivers!B2*(B241-B240)*Drivers!B24*(1+Drivers!B22)^(A241/12)*Drivers!B25*K241</f>
        <v>1827985.721</v>
      </c>
      <c r="M241" s="14">
        <f>L241*Drivers!B26</f>
        <v>365597.1442</v>
      </c>
      <c r="N241" s="14">
        <f>(L241+M241)*Drivers!B27</f>
        <v>767754.0029</v>
      </c>
      <c r="O241" s="14">
        <f>IF(A241&gt;(Drivers!B19+Drivers!B20),Drivers!B28/12*(1+Drivers!B23)^(A241/12),0)</f>
        <v>727991.1275</v>
      </c>
      <c r="P241" s="14">
        <f>(L241+M241)*Drivers!B29</f>
        <v>87743.31461</v>
      </c>
      <c r="Q241" s="14">
        <f>Drivers!B3*Drivers!B30*(1+Drivers!B22)^(A241/12)*Drivers!B31*(1-Drivers!B32 )*K241</f>
        <v>139228.3031</v>
      </c>
      <c r="R241" s="14">
        <f>IF(A241&gt;(Drivers!B19+Drivers!B20),Drivers!B33/12*(1+Drivers!B23)^(A241/12),0)</f>
        <v>109198.6691</v>
      </c>
      <c r="S241" s="14">
        <f t="shared" si="2"/>
        <v>640124.0544</v>
      </c>
      <c r="T241" s="14">
        <f t="shared" si="6"/>
        <v>0</v>
      </c>
      <c r="U241" s="14">
        <f>IF(AND(A241&gt;Drivers!B19,A241&lt;=(Drivers!B19+Drivers!B20)),Summary!B31*D241,0)</f>
        <v>0</v>
      </c>
      <c r="V241" s="14">
        <f>IF(A241&lt;=(Drivers!B19+Drivers!B20),(T241+U241/2)*Drivers!B36/12,T241*Drivers!B36/12)</f>
        <v>0</v>
      </c>
      <c r="W241" s="14">
        <f>IF(A241&gt;(Drivers!B19+Drivers!B20),MIN(T241,MAX(0,Summary!B32/12-V241)),0)</f>
        <v>0</v>
      </c>
      <c r="X241" s="14">
        <f>IF(A241=(Drivers!B19+1),Summary!B31*Drivers!B38,0)</f>
        <v>0</v>
      </c>
      <c r="Y241" s="14">
        <f t="shared" si="3"/>
        <v>0</v>
      </c>
      <c r="Z241" s="14">
        <f t="shared" si="4"/>
        <v>640124.0544</v>
      </c>
      <c r="AA241" s="14">
        <f t="shared" si="7"/>
        <v>-103402744.7</v>
      </c>
      <c r="AB241" s="14">
        <f t="shared" si="5"/>
        <v>640124.0544</v>
      </c>
      <c r="AC241" s="14">
        <f>(E241+F241+G241+H241)*Drivers!B45</f>
        <v>0</v>
      </c>
      <c r="AD241" s="14">
        <f>IF(A241&lt;=Summary!B18,AB241+IF(A241=Summary!B18,Summary!B40,0),0)</f>
        <v>0</v>
      </c>
      <c r="AE241" s="14">
        <f>IF(A241&lt;=Summary!B18,Z241+IF(A241=Summary!B18,Summary!B40-Y241,0),0)</f>
        <v>0</v>
      </c>
      <c r="AF241" s="14">
        <f>AD241-IF(A241=0,Drivers!B44,0)</f>
        <v>0</v>
      </c>
      <c r="AG241" s="14">
        <f t="shared" si="8"/>
        <v>-76770627.73</v>
      </c>
    </row>
    <row r="242">
      <c r="A242" s="2">
        <v>240.0</v>
      </c>
      <c r="B242" s="15">
        <f>EDATE(Setup!B2,A242)</f>
        <v>53584</v>
      </c>
      <c r="C242" s="2" t="str">
        <f>IF(A242=0,"T0",IF(A242&lt;=Drivers!B19,"Preconstruction",IF(A242&lt;=(Drivers!B19+Drivers!B20),"Construction","Trading")))</f>
        <v>Trading</v>
      </c>
      <c r="D242" s="12">
        <f t="array" ref="D242">IF(AND(A242&gt;Drivers!B19,A242&lt;=(Drivers!B19+Drivers!B20)),SIN(PI()*(A242-Drivers!B19-0.5)/Drivers!B20)/SUMPRODUCT(SIN(PI()*(SEQUENCE(Drivers!B20,1)-0.5)/Drivers!B20)),0)</f>
        <v>0</v>
      </c>
      <c r="E242" s="14">
        <f>(Summary!B10+Summary!B12)*D242*(1+Drivers!B21)^(A242/12)</f>
        <v>0</v>
      </c>
      <c r="F242" s="14">
        <f>IF(AND(A242&gt;0,A242&lt;=Drivers!B19),Summary!B11*Drivers!B40/Drivers!B19*(1+Drivers!B21)^(A242/12),Summary!B11*(1-Drivers!B40 )*D242*(1+Drivers!B21)^(A242/12))</f>
        <v>0</v>
      </c>
      <c r="G242" s="14">
        <f>IF(AND(A242&gt;0,A242&lt;=2),Drivers!B16/2,0)</f>
        <v>0</v>
      </c>
      <c r="H242" s="14">
        <f>IF(A242=(Drivers!B19+Drivers!B20),Drivers!B17*(1+Drivers!B21)^(A242/12),0)</f>
        <v>0</v>
      </c>
      <c r="I242" s="14">
        <f>IF(AND(A242&gt;0,A242&lt;=(Drivers!B19+Drivers!B20)),Drivers!B18*(1+Drivers!B23)^(A242/12),0)</f>
        <v>0</v>
      </c>
      <c r="J242" s="14">
        <f t="shared" si="1"/>
        <v>0</v>
      </c>
      <c r="K242" s="12">
        <f>IF(A242&gt;(Drivers!B19+Drivers!B20),MIN(1,0.5+0.5*(A242-(Drivers!B19+Drivers!B20))/Drivers!B39),0)</f>
        <v>1</v>
      </c>
      <c r="L242" s="14">
        <f>Drivers!B2*(B242-B241)*Drivers!B24*(1+Drivers!B22)^(A242/12)*Drivers!B25*K242</f>
        <v>1833970.071</v>
      </c>
      <c r="M242" s="14">
        <f>L242*Drivers!B26</f>
        <v>366794.0141</v>
      </c>
      <c r="N242" s="14">
        <f>(L242+M242)*Drivers!B27</f>
        <v>770267.4297</v>
      </c>
      <c r="O242" s="14">
        <f>IF(A242&gt;(Drivers!B19+Drivers!B20),Drivers!B28/12*(1+Drivers!B23)^(A242/12),0)</f>
        <v>730374.381</v>
      </c>
      <c r="P242" s="14">
        <f>(L242+M242)*Drivers!B29</f>
        <v>88030.56339</v>
      </c>
      <c r="Q242" s="14">
        <f>Drivers!B3*Drivers!B30*(1+Drivers!B22)^(A242/12)*Drivers!B31*(1-Drivers!B32 )*K242</f>
        <v>139684.1004</v>
      </c>
      <c r="R242" s="14">
        <f>IF(A242&gt;(Drivers!B19+Drivers!B20),Drivers!B33/12*(1+Drivers!B23)^(A242/12),0)</f>
        <v>109556.1572</v>
      </c>
      <c r="S242" s="14">
        <f t="shared" si="2"/>
        <v>642219.654</v>
      </c>
      <c r="T242" s="14">
        <f t="shared" si="6"/>
        <v>0</v>
      </c>
      <c r="U242" s="14">
        <f>IF(AND(A242&gt;Drivers!B19,A242&lt;=(Drivers!B19+Drivers!B20)),Summary!B31*D242,0)</f>
        <v>0</v>
      </c>
      <c r="V242" s="14">
        <f>IF(A242&lt;=(Drivers!B19+Drivers!B20),(T242+U242/2)*Drivers!B36/12,T242*Drivers!B36/12)</f>
        <v>0</v>
      </c>
      <c r="W242" s="14">
        <f>IF(A242&gt;(Drivers!B19+Drivers!B20),MIN(T242,MAX(0,Summary!B32/12-V242)),0)</f>
        <v>0</v>
      </c>
      <c r="X242" s="14">
        <f>IF(A242=(Drivers!B19+1),Summary!B31*Drivers!B38,0)</f>
        <v>0</v>
      </c>
      <c r="Y242" s="14">
        <f t="shared" si="3"/>
        <v>0</v>
      </c>
      <c r="Z242" s="14">
        <f t="shared" si="4"/>
        <v>642219.654</v>
      </c>
      <c r="AA242" s="14">
        <f t="shared" si="7"/>
        <v>-102760525.1</v>
      </c>
      <c r="AB242" s="14">
        <f t="shared" si="5"/>
        <v>642219.654</v>
      </c>
      <c r="AC242" s="14">
        <f>(E242+F242+G242+H242)*Drivers!B45</f>
        <v>0</v>
      </c>
      <c r="AD242" s="14">
        <f>IF(A242&lt;=Summary!B18,AB242+IF(A242=Summary!B18,Summary!B40,0),0)</f>
        <v>0</v>
      </c>
      <c r="AE242" s="14">
        <f>IF(A242&lt;=Summary!B18,Z242+IF(A242=Summary!B18,Summary!B40-Y242,0),0)</f>
        <v>0</v>
      </c>
      <c r="AF242" s="14">
        <f>AD242-IF(A242=0,Drivers!B44,0)</f>
        <v>0</v>
      </c>
      <c r="AG242" s="14">
        <f t="shared" si="8"/>
        <v>-76128408.07</v>
      </c>
    </row>
  </sheetData>
  <autoFilter ref="$A$1:$AG$24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0.13"/>
    <col customWidth="1" min="2" max="2" width="16.38"/>
    <col customWidth="1" min="3" max="3" width="18.88"/>
    <col customWidth="1" min="4" max="33" width="19.5"/>
  </cols>
  <sheetData>
    <row r="1">
      <c r="A1" s="1" t="s">
        <v>336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  <c r="I1" s="1" t="s">
        <v>120</v>
      </c>
      <c r="J1" s="1" t="s">
        <v>345</v>
      </c>
      <c r="K1" s="1" t="s">
        <v>346</v>
      </c>
      <c r="L1" s="1" t="s">
        <v>347</v>
      </c>
      <c r="M1" s="1" t="s">
        <v>348</v>
      </c>
      <c r="N1" s="1" t="s">
        <v>349</v>
      </c>
      <c r="O1" s="1" t="s">
        <v>350</v>
      </c>
      <c r="P1" s="1" t="s">
        <v>351</v>
      </c>
      <c r="Q1" s="1" t="s">
        <v>352</v>
      </c>
      <c r="R1" s="1" t="s">
        <v>353</v>
      </c>
      <c r="S1" s="1" t="s">
        <v>354</v>
      </c>
      <c r="T1" s="1" t="s">
        <v>356</v>
      </c>
      <c r="U1" s="1" t="s">
        <v>358</v>
      </c>
      <c r="V1" s="1" t="s">
        <v>359</v>
      </c>
      <c r="W1" s="1" t="s">
        <v>360</v>
      </c>
      <c r="X1" s="1" t="s">
        <v>361</v>
      </c>
      <c r="Y1" s="1" t="s">
        <v>362</v>
      </c>
      <c r="Z1" s="1" t="s">
        <v>363</v>
      </c>
      <c r="AA1" s="1" t="s">
        <v>365</v>
      </c>
      <c r="AB1" s="1" t="s">
        <v>366</v>
      </c>
      <c r="AC1" s="1" t="s">
        <v>367</v>
      </c>
      <c r="AD1" s="1" t="s">
        <v>368</v>
      </c>
      <c r="AE1" s="1" t="s">
        <v>370</v>
      </c>
      <c r="AF1" s="1" t="s">
        <v>371</v>
      </c>
      <c r="AG1" s="1" t="s">
        <v>372</v>
      </c>
    </row>
    <row r="2">
      <c r="A2" s="2">
        <v>0.0</v>
      </c>
      <c r="B2" s="15">
        <f>EDATE(Setup!B2,A2)</f>
        <v>46279</v>
      </c>
      <c r="C2" s="2" t="str">
        <f>IF(A2=0,"T0",IF(A2&lt;=Drivers!C19,"Preconstruction",IF(A2&lt;=(Drivers!C19+Drivers!C20),"Construction","Trading")))</f>
        <v>T0</v>
      </c>
      <c r="D2" s="12">
        <f t="array" ref="D2">IF(AND(A2&gt;Drivers!C19,A2&lt;=(Drivers!C19+Drivers!C20)),SIN(PI()*(A2-Drivers!C19-0.5)/Drivers!C20)/SUMPRODUCT(SIN(PI()*(SEQUENCE(Drivers!C20,1)-0.5)/Drivers!C20)),0)</f>
        <v>0</v>
      </c>
      <c r="E2" s="14">
        <f>(Summary!C10+Summary!C12)*D2*(1+Drivers!C21)^(A2/12)</f>
        <v>0</v>
      </c>
      <c r="F2" s="14">
        <f>IF(AND(A2&gt;0,A2&lt;=Drivers!C19),Summary!C11*Drivers!C40/Drivers!C19*(1+Drivers!C21)^(A2/12),Summary!C11*(1-Drivers!C40 )*D2*(1+Drivers!C21)^(A2/12))</f>
        <v>0</v>
      </c>
      <c r="G2" s="14">
        <f>IF(AND(A2&gt;0,A2&lt;=2),Drivers!C16/2,0)</f>
        <v>0</v>
      </c>
      <c r="H2" s="14">
        <f>IF(A2=(Drivers!C19+Drivers!C20),Drivers!C17*(1+Drivers!C21)^(A2/12),0)</f>
        <v>0</v>
      </c>
      <c r="I2" s="14">
        <f>IF(AND(A2&gt;0,A2&lt;=(Drivers!C19+Drivers!C20)),Drivers!C18*(1+Drivers!C23)^(A2/12),0)</f>
        <v>0</v>
      </c>
      <c r="J2" s="14">
        <f t="shared" ref="J2:J242" si="1">SUM(E2:I2)</f>
        <v>0</v>
      </c>
      <c r="K2" s="12">
        <f>IF(A2&gt;(Drivers!C19+Drivers!C20),MIN(1,0.5+0.5*(A2-(Drivers!C19+Drivers!C20))/Drivers!C39),0)</f>
        <v>0</v>
      </c>
      <c r="L2" s="14">
        <f>Drivers!C2*0*Drivers!C24*(1+Drivers!C22)^(A2/12)*Drivers!C25*K2</f>
        <v>0</v>
      </c>
      <c r="M2" s="14">
        <f>L2*Drivers!C26</f>
        <v>0</v>
      </c>
      <c r="N2" s="14">
        <f>(L2+M2)*Drivers!C27</f>
        <v>0</v>
      </c>
      <c r="O2" s="14">
        <f>IF(A2&gt;(Drivers!C19+Drivers!C20),Drivers!C28/12*(1+Drivers!C23)^(A2/12),0)</f>
        <v>0</v>
      </c>
      <c r="P2" s="14">
        <f>(L2+M2)*Drivers!C29</f>
        <v>0</v>
      </c>
      <c r="Q2" s="14">
        <f>Drivers!C3*Drivers!C30*(1+Drivers!C22)^(A2/12)*Drivers!C31*(1-Drivers!C32 )*K2</f>
        <v>0</v>
      </c>
      <c r="R2" s="14">
        <f>IF(A2&gt;(Drivers!C19+Drivers!C20),Drivers!C33/12*(1+Drivers!C23)^(A2/12),0)</f>
        <v>0</v>
      </c>
      <c r="S2" s="14">
        <f t="shared" ref="S2:S242" si="2">L2+M2-N2-O2-P2+Q2-R2</f>
        <v>0</v>
      </c>
      <c r="T2" s="14">
        <f>0</f>
        <v>0</v>
      </c>
      <c r="U2" s="14">
        <f>IF(AND(A2&gt;Drivers!C19,A2&lt;=(Drivers!C19+Drivers!C20)),Summary!C31*D2,0)</f>
        <v>0</v>
      </c>
      <c r="V2" s="14">
        <f>IF(A2&lt;=(Drivers!C19+Drivers!C20),(T2+U2/2)*Drivers!C36/12,T2*Drivers!C36/12)</f>
        <v>0</v>
      </c>
      <c r="W2" s="14">
        <f>IF(A2&gt;(Drivers!C19+Drivers!C20),MIN(T2,MAX(0,Summary!C32/12-V2)),0)</f>
        <v>0</v>
      </c>
      <c r="X2" s="14">
        <f>IF(A2=(Drivers!C19+1),Summary!C31*Drivers!C38,0)</f>
        <v>0</v>
      </c>
      <c r="Y2" s="14">
        <f t="shared" ref="Y2:Y242" si="3">MAX(0,T2+U2-W2)</f>
        <v>0</v>
      </c>
      <c r="Z2" s="14">
        <f t="shared" ref="Z2:Z242" si="4">-J2+S2+U2-V2-W2-X2</f>
        <v>0</v>
      </c>
      <c r="AA2" s="14">
        <f>Z2</f>
        <v>0</v>
      </c>
      <c r="AB2" s="14">
        <f t="shared" ref="AB2:AB242" si="5">-J2+S2</f>
        <v>0</v>
      </c>
      <c r="AC2" s="14">
        <f>(E2+F2+G2+H2)*Drivers!C45</f>
        <v>0</v>
      </c>
      <c r="AD2" s="14">
        <f>IF(A2&lt;=Summary!C18,AB2+IF(A2=Summary!C18,Summary!C40,0),0)</f>
        <v>0</v>
      </c>
      <c r="AE2" s="14">
        <f>IF(A2&lt;=Summary!C18,Z2+IF(A2=Summary!C18,Summary!C40-Y2,0),0)</f>
        <v>0</v>
      </c>
      <c r="AF2" s="14">
        <f>AD2-IF(A2=0,Drivers!C44,0)</f>
        <v>-20000000</v>
      </c>
      <c r="AG2" s="14">
        <f>AB2</f>
        <v>0</v>
      </c>
    </row>
    <row r="3">
      <c r="A3" s="2">
        <v>1.0</v>
      </c>
      <c r="B3" s="15">
        <f>EDATE(Setup!B2,A3)</f>
        <v>46309</v>
      </c>
      <c r="C3" s="2" t="str">
        <f>IF(A3=0,"T0",IF(A3&lt;=Drivers!C19,"Preconstruction",IF(A3&lt;=(Drivers!C19+Drivers!C20),"Construction","Trading")))</f>
        <v>Preconstruction</v>
      </c>
      <c r="D3" s="12">
        <f t="array" ref="D3">IF(AND(A3&gt;Drivers!C19,A3&lt;=(Drivers!C19+Drivers!C20)),SIN(PI()*(A3-Drivers!C19-0.5)/Drivers!C20)/SUMPRODUCT(SIN(PI()*(SEQUENCE(Drivers!C20,1)-0.5)/Drivers!C20)),0)</f>
        <v>0</v>
      </c>
      <c r="E3" s="14">
        <f>(Summary!C10+Summary!C12)*D3*(1+Drivers!C21)^(A3/12)</f>
        <v>0</v>
      </c>
      <c r="F3" s="14">
        <f>IF(AND(A3&gt;0,A3&lt;=Drivers!C19),Summary!C11*Drivers!C40/Drivers!C19*(1+Drivers!C21)^(A3/12),Summary!C11*(1-Drivers!C40 )*D3*(1+Drivers!C21)^(A3/12))</f>
        <v>87523.96365</v>
      </c>
      <c r="G3" s="14">
        <f>IF(AND(A3&gt;0,A3&lt;=2),Drivers!C16/2,0)</f>
        <v>750000</v>
      </c>
      <c r="H3" s="14">
        <f>IF(A3=(Drivers!C19+Drivers!C20),Drivers!C17*(1+Drivers!C21)^(A3/12),0)</f>
        <v>0</v>
      </c>
      <c r="I3" s="14">
        <f>IF(AND(A3&gt;0,A3&lt;=(Drivers!C19+Drivers!C20)),Drivers!C18*(1+Drivers!C23)^(A3/12),0)</f>
        <v>50163.68699</v>
      </c>
      <c r="J3" s="14">
        <f t="shared" si="1"/>
        <v>887687.6506</v>
      </c>
      <c r="K3" s="12">
        <f>IF(A3&gt;(Drivers!C19+Drivers!C20),MIN(1,0.5+0.5*(A3-(Drivers!C19+Drivers!C20))/Drivers!C39),0)</f>
        <v>0</v>
      </c>
      <c r="L3" s="14">
        <f>Drivers!C2*(B3-B2)*Drivers!C24*(1+Drivers!C22)^(A3/12)*Drivers!C25*K3</f>
        <v>0</v>
      </c>
      <c r="M3" s="14">
        <f>L3*Drivers!C26</f>
        <v>0</v>
      </c>
      <c r="N3" s="14">
        <f>(L3+M3)*Drivers!C27</f>
        <v>0</v>
      </c>
      <c r="O3" s="14">
        <f>IF(A3&gt;(Drivers!C19+Drivers!C20),Drivers!C28/12*(1+Drivers!C23)^(A3/12),0)</f>
        <v>0</v>
      </c>
      <c r="P3" s="14">
        <f>(L3+M3)*Drivers!C29</f>
        <v>0</v>
      </c>
      <c r="Q3" s="14">
        <f>Drivers!C3*Drivers!C30*(1+Drivers!C22)^(A3/12)*Drivers!C31*(1-Drivers!C32 )*K3</f>
        <v>0</v>
      </c>
      <c r="R3" s="14">
        <f>IF(A3&gt;(Drivers!C19+Drivers!C20),Drivers!C33/12*(1+Drivers!C23)^(A3/12),0)</f>
        <v>0</v>
      </c>
      <c r="S3" s="14">
        <f t="shared" si="2"/>
        <v>0</v>
      </c>
      <c r="T3" s="14">
        <f t="shared" ref="T3:T242" si="6">Y2</f>
        <v>0</v>
      </c>
      <c r="U3" s="14">
        <f>IF(AND(A3&gt;Drivers!C19,A3&lt;=(Drivers!C19+Drivers!C20)),Summary!C31*D3,0)</f>
        <v>0</v>
      </c>
      <c r="V3" s="14">
        <f>IF(A3&lt;=(Drivers!C19+Drivers!C20),(T3+U3/2)*Drivers!C36/12,T3*Drivers!C36/12)</f>
        <v>0</v>
      </c>
      <c r="W3" s="14">
        <f>IF(A3&gt;(Drivers!C19+Drivers!C20),MIN(T3,MAX(0,Summary!C32/12-V3)),0)</f>
        <v>0</v>
      </c>
      <c r="X3" s="14">
        <f>IF(A3=(Drivers!C19+1),Summary!C31*Drivers!C38,0)</f>
        <v>0</v>
      </c>
      <c r="Y3" s="14">
        <f t="shared" si="3"/>
        <v>0</v>
      </c>
      <c r="Z3" s="14">
        <f t="shared" si="4"/>
        <v>-887687.6506</v>
      </c>
      <c r="AA3" s="14">
        <f t="shared" ref="AA3:AA242" si="7">AA2+Z3</f>
        <v>-887687.6506</v>
      </c>
      <c r="AB3" s="14">
        <f t="shared" si="5"/>
        <v>-887687.6506</v>
      </c>
      <c r="AC3" s="14">
        <f>(E3+F3+G3+H3)*Drivers!C45</f>
        <v>125628.5945</v>
      </c>
      <c r="AD3" s="14">
        <f>IF(A3&lt;=Summary!C18,AB3+IF(A3=Summary!C18,Summary!C40,0),0)</f>
        <v>-887687.6506</v>
      </c>
      <c r="AE3" s="14">
        <f>IF(A3&lt;=Summary!C18,Z3+IF(A3=Summary!C18,Summary!C40-Y3,0),0)</f>
        <v>-887687.6506</v>
      </c>
      <c r="AF3" s="14">
        <f>AD3-IF(A3=0,Drivers!C44,0)</f>
        <v>-887687.6506</v>
      </c>
      <c r="AG3" s="14">
        <f t="shared" ref="AG3:AG242" si="8">AG2+AB3</f>
        <v>-887687.6506</v>
      </c>
    </row>
    <row r="4">
      <c r="A4" s="2">
        <v>2.0</v>
      </c>
      <c r="B4" s="15">
        <f>EDATE(Setup!B2,A4)</f>
        <v>46340</v>
      </c>
      <c r="C4" s="2" t="str">
        <f>IF(A4=0,"T0",IF(A4&lt;=Drivers!C19,"Preconstruction",IF(A4&lt;=(Drivers!C19+Drivers!C20),"Construction","Trading")))</f>
        <v>Preconstruction</v>
      </c>
      <c r="D4" s="12">
        <f t="array" ref="D4">IF(AND(A4&gt;Drivers!C19,A4&lt;=(Drivers!C19+Drivers!C20)),SIN(PI()*(A4-Drivers!C19-0.5)/Drivers!C20)/SUMPRODUCT(SIN(PI()*(SEQUENCE(Drivers!C20,1)-0.5)/Drivers!C20)),0)</f>
        <v>0</v>
      </c>
      <c r="E4" s="14">
        <f>(Summary!C10+Summary!C12)*D4*(1+Drivers!C21)^(A4/12)</f>
        <v>0</v>
      </c>
      <c r="F4" s="14">
        <f>IF(AND(A4&gt;0,A4&lt;=Drivers!C19),Summary!C11*Drivers!C40/Drivers!C19*(1+Drivers!C21)^(A4/12),Summary!C11*(1-Drivers!C40 )*D4*(1+Drivers!C21)^(A4/12))</f>
        <v>87949.99097</v>
      </c>
      <c r="G4" s="14">
        <f>IF(AND(A4&gt;0,A4&lt;=2),Drivers!C16/2,0)</f>
        <v>750000</v>
      </c>
      <c r="H4" s="14">
        <f>IF(A4=(Drivers!C19+Drivers!C20),Drivers!C17*(1+Drivers!C21)^(A4/12),0)</f>
        <v>0</v>
      </c>
      <c r="I4" s="14">
        <f>IF(AND(A4&gt;0,A4&lt;=(Drivers!C19+Drivers!C20)),Drivers!C18*(1+Drivers!C23)^(A4/12),0)</f>
        <v>50327.90985</v>
      </c>
      <c r="J4" s="14">
        <f t="shared" si="1"/>
        <v>888277.9008</v>
      </c>
      <c r="K4" s="12">
        <f>IF(A4&gt;(Drivers!C19+Drivers!C20),MIN(1,0.5+0.5*(A4-(Drivers!C19+Drivers!C20))/Drivers!C39),0)</f>
        <v>0</v>
      </c>
      <c r="L4" s="14">
        <f>Drivers!C2*(B4-B3)*Drivers!C24*(1+Drivers!C22)^(A4/12)*Drivers!C25*K4</f>
        <v>0</v>
      </c>
      <c r="M4" s="14">
        <f>L4*Drivers!C26</f>
        <v>0</v>
      </c>
      <c r="N4" s="14">
        <f>(L4+M4)*Drivers!C27</f>
        <v>0</v>
      </c>
      <c r="O4" s="14">
        <f>IF(A4&gt;(Drivers!C19+Drivers!C20),Drivers!C28/12*(1+Drivers!C23)^(A4/12),0)</f>
        <v>0</v>
      </c>
      <c r="P4" s="14">
        <f>(L4+M4)*Drivers!C29</f>
        <v>0</v>
      </c>
      <c r="Q4" s="14">
        <f>Drivers!C3*Drivers!C30*(1+Drivers!C22)^(A4/12)*Drivers!C31*(1-Drivers!C32 )*K4</f>
        <v>0</v>
      </c>
      <c r="R4" s="14">
        <f>IF(A4&gt;(Drivers!C19+Drivers!C20),Drivers!C33/12*(1+Drivers!C23)^(A4/12),0)</f>
        <v>0</v>
      </c>
      <c r="S4" s="14">
        <f t="shared" si="2"/>
        <v>0</v>
      </c>
      <c r="T4" s="14">
        <f t="shared" si="6"/>
        <v>0</v>
      </c>
      <c r="U4" s="14">
        <f>IF(AND(A4&gt;Drivers!C19,A4&lt;=(Drivers!C19+Drivers!C20)),Summary!C31*D4,0)</f>
        <v>0</v>
      </c>
      <c r="V4" s="14">
        <f>IF(A4&lt;=(Drivers!C19+Drivers!C20),(T4+U4/2)*Drivers!C36/12,T4*Drivers!C36/12)</f>
        <v>0</v>
      </c>
      <c r="W4" s="14">
        <f>IF(A4&gt;(Drivers!C19+Drivers!C20),MIN(T4,MAX(0,Summary!C32/12-V4)),0)</f>
        <v>0</v>
      </c>
      <c r="X4" s="14">
        <f>IF(A4=(Drivers!C19+1),Summary!C31*Drivers!C38,0)</f>
        <v>0</v>
      </c>
      <c r="Y4" s="14">
        <f t="shared" si="3"/>
        <v>0</v>
      </c>
      <c r="Z4" s="14">
        <f t="shared" si="4"/>
        <v>-888277.9008</v>
      </c>
      <c r="AA4" s="14">
        <f t="shared" si="7"/>
        <v>-1775965.551</v>
      </c>
      <c r="AB4" s="14">
        <f t="shared" si="5"/>
        <v>-888277.9008</v>
      </c>
      <c r="AC4" s="14">
        <f>(E4+F4+G4+H4)*Drivers!C45</f>
        <v>125692.4986</v>
      </c>
      <c r="AD4" s="14">
        <f>IF(A4&lt;=Summary!C18,AB4+IF(A4=Summary!C18,Summary!C40,0),0)</f>
        <v>-888277.9008</v>
      </c>
      <c r="AE4" s="14">
        <f>IF(A4&lt;=Summary!C18,Z4+IF(A4=Summary!C18,Summary!C40-Y4,0),0)</f>
        <v>-888277.9008</v>
      </c>
      <c r="AF4" s="14">
        <f>AD4-IF(A4=0,Drivers!C44,0)</f>
        <v>-888277.9008</v>
      </c>
      <c r="AG4" s="14">
        <f t="shared" si="8"/>
        <v>-1775965.551</v>
      </c>
    </row>
    <row r="5">
      <c r="A5" s="2">
        <v>3.0</v>
      </c>
      <c r="B5" s="15">
        <f>EDATE(Setup!B2,A5)</f>
        <v>46370</v>
      </c>
      <c r="C5" s="2" t="str">
        <f>IF(A5=0,"T0",IF(A5&lt;=Drivers!C19,"Preconstruction",IF(A5&lt;=(Drivers!C19+Drivers!C20),"Construction","Trading")))</f>
        <v>Preconstruction</v>
      </c>
      <c r="D5" s="12">
        <f t="array" ref="D5">IF(AND(A5&gt;Drivers!C19,A5&lt;=(Drivers!C19+Drivers!C20)),SIN(PI()*(A5-Drivers!C19-0.5)/Drivers!C20)/SUMPRODUCT(SIN(PI()*(SEQUENCE(Drivers!C20,1)-0.5)/Drivers!C20)),0)</f>
        <v>0</v>
      </c>
      <c r="E5" s="14">
        <f>(Summary!C10+Summary!C12)*D5*(1+Drivers!C21)^(A5/12)</f>
        <v>0</v>
      </c>
      <c r="F5" s="14">
        <f>IF(AND(A5&gt;0,A5&lt;=Drivers!C19),Summary!C11*Drivers!C40/Drivers!C19*(1+Drivers!C21)^(A5/12),Summary!C11*(1-Drivers!C40 )*D5*(1+Drivers!C21)^(A5/12))</f>
        <v>88378.092</v>
      </c>
      <c r="G5" s="14">
        <f>IF(AND(A5&gt;0,A5&lt;=2),Drivers!C16/2,0)</f>
        <v>0</v>
      </c>
      <c r="H5" s="14">
        <f>IF(A5=(Drivers!C19+Drivers!C20),Drivers!C17*(1+Drivers!C21)^(A5/12),0)</f>
        <v>0</v>
      </c>
      <c r="I5" s="14">
        <f>IF(AND(A5&gt;0,A5&lt;=(Drivers!C19+Drivers!C20)),Drivers!C18*(1+Drivers!C23)^(A5/12),0)</f>
        <v>50492.67033</v>
      </c>
      <c r="J5" s="14">
        <f t="shared" si="1"/>
        <v>138870.7623</v>
      </c>
      <c r="K5" s="12">
        <f>IF(A5&gt;(Drivers!C19+Drivers!C20),MIN(1,0.5+0.5*(A5-(Drivers!C19+Drivers!C20))/Drivers!C39),0)</f>
        <v>0</v>
      </c>
      <c r="L5" s="14">
        <f>Drivers!C2*(B5-B4)*Drivers!C24*(1+Drivers!C22)^(A5/12)*Drivers!C25*K5</f>
        <v>0</v>
      </c>
      <c r="M5" s="14">
        <f>L5*Drivers!C26</f>
        <v>0</v>
      </c>
      <c r="N5" s="14">
        <f>(L5+M5)*Drivers!C27</f>
        <v>0</v>
      </c>
      <c r="O5" s="14">
        <f>IF(A5&gt;(Drivers!C19+Drivers!C20),Drivers!C28/12*(1+Drivers!C23)^(A5/12),0)</f>
        <v>0</v>
      </c>
      <c r="P5" s="14">
        <f>(L5+M5)*Drivers!C29</f>
        <v>0</v>
      </c>
      <c r="Q5" s="14">
        <f>Drivers!C3*Drivers!C30*(1+Drivers!C22)^(A5/12)*Drivers!C31*(1-Drivers!C32 )*K5</f>
        <v>0</v>
      </c>
      <c r="R5" s="14">
        <f>IF(A5&gt;(Drivers!C19+Drivers!C20),Drivers!C33/12*(1+Drivers!C23)^(A5/12),0)</f>
        <v>0</v>
      </c>
      <c r="S5" s="14">
        <f t="shared" si="2"/>
        <v>0</v>
      </c>
      <c r="T5" s="14">
        <f t="shared" si="6"/>
        <v>0</v>
      </c>
      <c r="U5" s="14">
        <f>IF(AND(A5&gt;Drivers!C19,A5&lt;=(Drivers!C19+Drivers!C20)),Summary!C31*D5,0)</f>
        <v>0</v>
      </c>
      <c r="V5" s="14">
        <f>IF(A5&lt;=(Drivers!C19+Drivers!C20),(T5+U5/2)*Drivers!C36/12,T5*Drivers!C36/12)</f>
        <v>0</v>
      </c>
      <c r="W5" s="14">
        <f>IF(A5&gt;(Drivers!C19+Drivers!C20),MIN(T5,MAX(0,Summary!C32/12-V5)),0)</f>
        <v>0</v>
      </c>
      <c r="X5" s="14">
        <f>IF(A5=(Drivers!C19+1),Summary!C31*Drivers!C38,0)</f>
        <v>0</v>
      </c>
      <c r="Y5" s="14">
        <f t="shared" si="3"/>
        <v>0</v>
      </c>
      <c r="Z5" s="14">
        <f t="shared" si="4"/>
        <v>-138870.7623</v>
      </c>
      <c r="AA5" s="14">
        <f t="shared" si="7"/>
        <v>-1914836.314</v>
      </c>
      <c r="AB5" s="14">
        <f t="shared" si="5"/>
        <v>-138870.7623</v>
      </c>
      <c r="AC5" s="14">
        <f>(E5+F5+G5+H5)*Drivers!C45</f>
        <v>13256.7138</v>
      </c>
      <c r="AD5" s="14">
        <f>IF(A5&lt;=Summary!C18,AB5+IF(A5=Summary!C18,Summary!C40,0),0)</f>
        <v>-138870.7623</v>
      </c>
      <c r="AE5" s="14">
        <f>IF(A5&lt;=Summary!C18,Z5+IF(A5=Summary!C18,Summary!C40-Y5,0),0)</f>
        <v>-138870.7623</v>
      </c>
      <c r="AF5" s="14">
        <f>AD5-IF(A5=0,Drivers!C44,0)</f>
        <v>-138870.7623</v>
      </c>
      <c r="AG5" s="14">
        <f t="shared" si="8"/>
        <v>-1914836.314</v>
      </c>
    </row>
    <row r="6">
      <c r="A6" s="2">
        <v>4.0</v>
      </c>
      <c r="B6" s="15">
        <f>EDATE(Setup!B2,A6)</f>
        <v>46401</v>
      </c>
      <c r="C6" s="2" t="str">
        <f>IF(A6=0,"T0",IF(A6&lt;=Drivers!C19,"Preconstruction",IF(A6&lt;=(Drivers!C19+Drivers!C20),"Construction","Trading")))</f>
        <v>Preconstruction</v>
      </c>
      <c r="D6" s="12">
        <f t="array" ref="D6">IF(AND(A6&gt;Drivers!C19,A6&lt;=(Drivers!C19+Drivers!C20)),SIN(PI()*(A6-Drivers!C19-0.5)/Drivers!C20)/SUMPRODUCT(SIN(PI()*(SEQUENCE(Drivers!C20,1)-0.5)/Drivers!C20)),0)</f>
        <v>0</v>
      </c>
      <c r="E6" s="14">
        <f>(Summary!C10+Summary!C12)*D6*(1+Drivers!C21)^(A6/12)</f>
        <v>0</v>
      </c>
      <c r="F6" s="14">
        <f>IF(AND(A6&gt;0,A6&lt;=Drivers!C19),Summary!C11*Drivers!C40/Drivers!C19*(1+Drivers!C21)^(A6/12),Summary!C11*(1-Drivers!C40 )*D6*(1+Drivers!C21)^(A6/12))</f>
        <v>88808.27683</v>
      </c>
      <c r="G6" s="14">
        <f>IF(AND(A6&gt;0,A6&lt;=2),Drivers!C16/2,0)</f>
        <v>0</v>
      </c>
      <c r="H6" s="14">
        <f>IF(A6=(Drivers!C19+Drivers!C20),Drivers!C17*(1+Drivers!C21)^(A6/12),0)</f>
        <v>0</v>
      </c>
      <c r="I6" s="14">
        <f>IF(AND(A6&gt;0,A6&lt;=(Drivers!C19+Drivers!C20)),Drivers!C18*(1+Drivers!C23)^(A6/12),0)</f>
        <v>50657.97019</v>
      </c>
      <c r="J6" s="14">
        <f t="shared" si="1"/>
        <v>139466.247</v>
      </c>
      <c r="K6" s="12">
        <f>IF(A6&gt;(Drivers!C19+Drivers!C20),MIN(1,0.5+0.5*(A6-(Drivers!C19+Drivers!C20))/Drivers!C39),0)</f>
        <v>0</v>
      </c>
      <c r="L6" s="14">
        <f>Drivers!C2*(B6-B5)*Drivers!C24*(1+Drivers!C22)^(A6/12)*Drivers!C25*K6</f>
        <v>0</v>
      </c>
      <c r="M6" s="14">
        <f>L6*Drivers!C26</f>
        <v>0</v>
      </c>
      <c r="N6" s="14">
        <f>(L6+M6)*Drivers!C27</f>
        <v>0</v>
      </c>
      <c r="O6" s="14">
        <f>IF(A6&gt;(Drivers!C19+Drivers!C20),Drivers!C28/12*(1+Drivers!C23)^(A6/12),0)</f>
        <v>0</v>
      </c>
      <c r="P6" s="14">
        <f>(L6+M6)*Drivers!C29</f>
        <v>0</v>
      </c>
      <c r="Q6" s="14">
        <f>Drivers!C3*Drivers!C30*(1+Drivers!C22)^(A6/12)*Drivers!C31*(1-Drivers!C32 )*K6</f>
        <v>0</v>
      </c>
      <c r="R6" s="14">
        <f>IF(A6&gt;(Drivers!C19+Drivers!C20),Drivers!C33/12*(1+Drivers!C23)^(A6/12),0)</f>
        <v>0</v>
      </c>
      <c r="S6" s="14">
        <f t="shared" si="2"/>
        <v>0</v>
      </c>
      <c r="T6" s="14">
        <f t="shared" si="6"/>
        <v>0</v>
      </c>
      <c r="U6" s="14">
        <f>IF(AND(A6&gt;Drivers!C19,A6&lt;=(Drivers!C19+Drivers!C20)),Summary!C31*D6,0)</f>
        <v>0</v>
      </c>
      <c r="V6" s="14">
        <f>IF(A6&lt;=(Drivers!C19+Drivers!C20),(T6+U6/2)*Drivers!C36/12,T6*Drivers!C36/12)</f>
        <v>0</v>
      </c>
      <c r="W6" s="14">
        <f>IF(A6&gt;(Drivers!C19+Drivers!C20),MIN(T6,MAX(0,Summary!C32/12-V6)),0)</f>
        <v>0</v>
      </c>
      <c r="X6" s="14">
        <f>IF(A6=(Drivers!C19+1),Summary!C31*Drivers!C38,0)</f>
        <v>0</v>
      </c>
      <c r="Y6" s="14">
        <f t="shared" si="3"/>
        <v>0</v>
      </c>
      <c r="Z6" s="14">
        <f t="shared" si="4"/>
        <v>-139466.247</v>
      </c>
      <c r="AA6" s="14">
        <f t="shared" si="7"/>
        <v>-2054302.561</v>
      </c>
      <c r="AB6" s="14">
        <f t="shared" si="5"/>
        <v>-139466.247</v>
      </c>
      <c r="AC6" s="14">
        <f>(E6+F6+G6+H6)*Drivers!C45</f>
        <v>13321.24152</v>
      </c>
      <c r="AD6" s="14">
        <f>IF(A6&lt;=Summary!C18,AB6+IF(A6=Summary!C18,Summary!C40,0),0)</f>
        <v>-139466.247</v>
      </c>
      <c r="AE6" s="14">
        <f>IF(A6&lt;=Summary!C18,Z6+IF(A6=Summary!C18,Summary!C40-Y6,0),0)</f>
        <v>-139466.247</v>
      </c>
      <c r="AF6" s="14">
        <f>AD6-IF(A6=0,Drivers!C44,0)</f>
        <v>-139466.247</v>
      </c>
      <c r="AG6" s="14">
        <f t="shared" si="8"/>
        <v>-2054302.561</v>
      </c>
    </row>
    <row r="7">
      <c r="A7" s="2">
        <v>5.0</v>
      </c>
      <c r="B7" s="15">
        <f>EDATE(Setup!B2,A7)</f>
        <v>46432</v>
      </c>
      <c r="C7" s="2" t="str">
        <f>IF(A7=0,"T0",IF(A7&lt;=Drivers!C19,"Preconstruction",IF(A7&lt;=(Drivers!C19+Drivers!C20),"Construction","Trading")))</f>
        <v>Preconstruction</v>
      </c>
      <c r="D7" s="12">
        <f t="array" ref="D7">IF(AND(A7&gt;Drivers!C19,A7&lt;=(Drivers!C19+Drivers!C20)),SIN(PI()*(A7-Drivers!C19-0.5)/Drivers!C20)/SUMPRODUCT(SIN(PI()*(SEQUENCE(Drivers!C20,1)-0.5)/Drivers!C20)),0)</f>
        <v>0</v>
      </c>
      <c r="E7" s="14">
        <f>(Summary!C10+Summary!C12)*D7*(1+Drivers!C21)^(A7/12)</f>
        <v>0</v>
      </c>
      <c r="F7" s="14">
        <f>IF(AND(A7&gt;0,A7&lt;=Drivers!C19),Summary!C11*Drivers!C40/Drivers!C19*(1+Drivers!C21)^(A7/12),Summary!C11*(1-Drivers!C40 )*D7*(1+Drivers!C21)^(A7/12))</f>
        <v>89240.55561</v>
      </c>
      <c r="G7" s="14">
        <f>IF(AND(A7&gt;0,A7&lt;=2),Drivers!C16/2,0)</f>
        <v>0</v>
      </c>
      <c r="H7" s="14">
        <f>IF(A7=(Drivers!C19+Drivers!C20),Drivers!C17*(1+Drivers!C21)^(A7/12),0)</f>
        <v>0</v>
      </c>
      <c r="I7" s="14">
        <f>IF(AND(A7&gt;0,A7&lt;=(Drivers!C19+Drivers!C20)),Drivers!C18*(1+Drivers!C23)^(A7/12),0)</f>
        <v>50823.8112</v>
      </c>
      <c r="J7" s="14">
        <f t="shared" si="1"/>
        <v>140064.3668</v>
      </c>
      <c r="K7" s="12">
        <f>IF(A7&gt;(Drivers!C19+Drivers!C20),MIN(1,0.5+0.5*(A7-(Drivers!C19+Drivers!C20))/Drivers!C39),0)</f>
        <v>0</v>
      </c>
      <c r="L7" s="14">
        <f>Drivers!C2*(B7-B6)*Drivers!C24*(1+Drivers!C22)^(A7/12)*Drivers!C25*K7</f>
        <v>0</v>
      </c>
      <c r="M7" s="14">
        <f>L7*Drivers!C26</f>
        <v>0</v>
      </c>
      <c r="N7" s="14">
        <f>(L7+M7)*Drivers!C27</f>
        <v>0</v>
      </c>
      <c r="O7" s="14">
        <f>IF(A7&gt;(Drivers!C19+Drivers!C20),Drivers!C28/12*(1+Drivers!C23)^(A7/12),0)</f>
        <v>0</v>
      </c>
      <c r="P7" s="14">
        <f>(L7+M7)*Drivers!C29</f>
        <v>0</v>
      </c>
      <c r="Q7" s="14">
        <f>Drivers!C3*Drivers!C30*(1+Drivers!C22)^(A7/12)*Drivers!C31*(1-Drivers!C32 )*K7</f>
        <v>0</v>
      </c>
      <c r="R7" s="14">
        <f>IF(A7&gt;(Drivers!C19+Drivers!C20),Drivers!C33/12*(1+Drivers!C23)^(A7/12),0)</f>
        <v>0</v>
      </c>
      <c r="S7" s="14">
        <f t="shared" si="2"/>
        <v>0</v>
      </c>
      <c r="T7" s="14">
        <f t="shared" si="6"/>
        <v>0</v>
      </c>
      <c r="U7" s="14">
        <f>IF(AND(A7&gt;Drivers!C19,A7&lt;=(Drivers!C19+Drivers!C20)),Summary!C31*D7,0)</f>
        <v>0</v>
      </c>
      <c r="V7" s="14">
        <f>IF(A7&lt;=(Drivers!C19+Drivers!C20),(T7+U7/2)*Drivers!C36/12,T7*Drivers!C36/12)</f>
        <v>0</v>
      </c>
      <c r="W7" s="14">
        <f>IF(A7&gt;(Drivers!C19+Drivers!C20),MIN(T7,MAX(0,Summary!C32/12-V7)),0)</f>
        <v>0</v>
      </c>
      <c r="X7" s="14">
        <f>IF(A7=(Drivers!C19+1),Summary!C31*Drivers!C38,0)</f>
        <v>0</v>
      </c>
      <c r="Y7" s="14">
        <f t="shared" si="3"/>
        <v>0</v>
      </c>
      <c r="Z7" s="14">
        <f t="shared" si="4"/>
        <v>-140064.3668</v>
      </c>
      <c r="AA7" s="14">
        <f t="shared" si="7"/>
        <v>-2194366.928</v>
      </c>
      <c r="AB7" s="14">
        <f t="shared" si="5"/>
        <v>-140064.3668</v>
      </c>
      <c r="AC7" s="14">
        <f>(E7+F7+G7+H7)*Drivers!C45</f>
        <v>13386.08334</v>
      </c>
      <c r="AD7" s="14">
        <f>IF(A7&lt;=Summary!C18,AB7+IF(A7=Summary!C18,Summary!C40,0),0)</f>
        <v>-140064.3668</v>
      </c>
      <c r="AE7" s="14">
        <f>IF(A7&lt;=Summary!C18,Z7+IF(A7=Summary!C18,Summary!C40-Y7,0),0)</f>
        <v>-140064.3668</v>
      </c>
      <c r="AF7" s="14">
        <f>AD7-IF(A7=0,Drivers!C44,0)</f>
        <v>-140064.3668</v>
      </c>
      <c r="AG7" s="14">
        <f t="shared" si="8"/>
        <v>-2194366.928</v>
      </c>
    </row>
    <row r="8">
      <c r="A8" s="2">
        <v>6.0</v>
      </c>
      <c r="B8" s="15">
        <f>EDATE(Setup!B2,A8)</f>
        <v>46460</v>
      </c>
      <c r="C8" s="2" t="str">
        <f>IF(A8=0,"T0",IF(A8&lt;=Drivers!C19,"Preconstruction",IF(A8&lt;=(Drivers!C19+Drivers!C20),"Construction","Trading")))</f>
        <v>Preconstruction</v>
      </c>
      <c r="D8" s="12">
        <f t="array" ref="D8">IF(AND(A8&gt;Drivers!C19,A8&lt;=(Drivers!C19+Drivers!C20)),SIN(PI()*(A8-Drivers!C19-0.5)/Drivers!C20)/SUMPRODUCT(SIN(PI()*(SEQUENCE(Drivers!C20,1)-0.5)/Drivers!C20)),0)</f>
        <v>0</v>
      </c>
      <c r="E8" s="14">
        <f>(Summary!C10+Summary!C12)*D8*(1+Drivers!C21)^(A8/12)</f>
        <v>0</v>
      </c>
      <c r="F8" s="14">
        <f>IF(AND(A8&gt;0,A8&lt;=Drivers!C19),Summary!C11*Drivers!C40/Drivers!C19*(1+Drivers!C21)^(A8/12),Summary!C11*(1-Drivers!C40 )*D8*(1+Drivers!C21)^(A8/12))</f>
        <v>89674.93853</v>
      </c>
      <c r="G8" s="14">
        <f>IF(AND(A8&gt;0,A8&lt;=2),Drivers!C16/2,0)</f>
        <v>0</v>
      </c>
      <c r="H8" s="14">
        <f>IF(A8=(Drivers!C19+Drivers!C20),Drivers!C17*(1+Drivers!C21)^(A8/12),0)</f>
        <v>0</v>
      </c>
      <c r="I8" s="14">
        <f>IF(AND(A8&gt;0,A8&lt;=(Drivers!C19+Drivers!C20)),Drivers!C18*(1+Drivers!C23)^(A8/12),0)</f>
        <v>50990.19514</v>
      </c>
      <c r="J8" s="14">
        <f t="shared" si="1"/>
        <v>140665.1337</v>
      </c>
      <c r="K8" s="12">
        <f>IF(A8&gt;(Drivers!C19+Drivers!C20),MIN(1,0.5+0.5*(A8-(Drivers!C19+Drivers!C20))/Drivers!C39),0)</f>
        <v>0</v>
      </c>
      <c r="L8" s="14">
        <f>Drivers!C2*(B8-B7)*Drivers!C24*(1+Drivers!C22)^(A8/12)*Drivers!C25*K8</f>
        <v>0</v>
      </c>
      <c r="M8" s="14">
        <f>L8*Drivers!C26</f>
        <v>0</v>
      </c>
      <c r="N8" s="14">
        <f>(L8+M8)*Drivers!C27</f>
        <v>0</v>
      </c>
      <c r="O8" s="14">
        <f>IF(A8&gt;(Drivers!C19+Drivers!C20),Drivers!C28/12*(1+Drivers!C23)^(A8/12),0)</f>
        <v>0</v>
      </c>
      <c r="P8" s="14">
        <f>(L8+M8)*Drivers!C29</f>
        <v>0</v>
      </c>
      <c r="Q8" s="14">
        <f>Drivers!C3*Drivers!C30*(1+Drivers!C22)^(A8/12)*Drivers!C31*(1-Drivers!C32 )*K8</f>
        <v>0</v>
      </c>
      <c r="R8" s="14">
        <f>IF(A8&gt;(Drivers!C19+Drivers!C20),Drivers!C33/12*(1+Drivers!C23)^(A8/12),0)</f>
        <v>0</v>
      </c>
      <c r="S8" s="14">
        <f t="shared" si="2"/>
        <v>0</v>
      </c>
      <c r="T8" s="14">
        <f t="shared" si="6"/>
        <v>0</v>
      </c>
      <c r="U8" s="14">
        <f>IF(AND(A8&gt;Drivers!C19,A8&lt;=(Drivers!C19+Drivers!C20)),Summary!C31*D8,0)</f>
        <v>0</v>
      </c>
      <c r="V8" s="14">
        <f>IF(A8&lt;=(Drivers!C19+Drivers!C20),(T8+U8/2)*Drivers!C36/12,T8*Drivers!C36/12)</f>
        <v>0</v>
      </c>
      <c r="W8" s="14">
        <f>IF(A8&gt;(Drivers!C19+Drivers!C20),MIN(T8,MAX(0,Summary!C32/12-V8)),0)</f>
        <v>0</v>
      </c>
      <c r="X8" s="14">
        <f>IF(A8=(Drivers!C19+1),Summary!C31*Drivers!C38,0)</f>
        <v>0</v>
      </c>
      <c r="Y8" s="14">
        <f t="shared" si="3"/>
        <v>0</v>
      </c>
      <c r="Z8" s="14">
        <f t="shared" si="4"/>
        <v>-140665.1337</v>
      </c>
      <c r="AA8" s="14">
        <f t="shared" si="7"/>
        <v>-2335032.061</v>
      </c>
      <c r="AB8" s="14">
        <f t="shared" si="5"/>
        <v>-140665.1337</v>
      </c>
      <c r="AC8" s="14">
        <f>(E8+F8+G8+H8)*Drivers!C45</f>
        <v>13451.24078</v>
      </c>
      <c r="AD8" s="14">
        <f>IF(A8&lt;=Summary!C18,AB8+IF(A8=Summary!C18,Summary!C40,0),0)</f>
        <v>-140665.1337</v>
      </c>
      <c r="AE8" s="14">
        <f>IF(A8&lt;=Summary!C18,Z8+IF(A8=Summary!C18,Summary!C40-Y8,0),0)</f>
        <v>-140665.1337</v>
      </c>
      <c r="AF8" s="14">
        <f>AD8-IF(A8=0,Drivers!C44,0)</f>
        <v>-140665.1337</v>
      </c>
      <c r="AG8" s="14">
        <f t="shared" si="8"/>
        <v>-2335032.061</v>
      </c>
    </row>
    <row r="9">
      <c r="A9" s="2">
        <v>7.0</v>
      </c>
      <c r="B9" s="15">
        <f>EDATE(Setup!B2,A9)</f>
        <v>46491</v>
      </c>
      <c r="C9" s="2" t="str">
        <f>IF(A9=0,"T0",IF(A9&lt;=Drivers!C19,"Preconstruction",IF(A9&lt;=(Drivers!C19+Drivers!C20),"Construction","Trading")))</f>
        <v>Preconstruction</v>
      </c>
      <c r="D9" s="12">
        <f t="array" ref="D9">IF(AND(A9&gt;Drivers!C19,A9&lt;=(Drivers!C19+Drivers!C20)),SIN(PI()*(A9-Drivers!C19-0.5)/Drivers!C20)/SUMPRODUCT(SIN(PI()*(SEQUENCE(Drivers!C20,1)-0.5)/Drivers!C20)),0)</f>
        <v>0</v>
      </c>
      <c r="E9" s="14">
        <f>(Summary!C10+Summary!C12)*D9*(1+Drivers!C21)^(A9/12)</f>
        <v>0</v>
      </c>
      <c r="F9" s="14">
        <f>IF(AND(A9&gt;0,A9&lt;=Drivers!C19),Summary!C11*Drivers!C40/Drivers!C19*(1+Drivers!C21)^(A9/12),Summary!C11*(1-Drivers!C40 )*D9*(1+Drivers!C21)^(A9/12))</f>
        <v>90111.43583</v>
      </c>
      <c r="G9" s="14">
        <f>IF(AND(A9&gt;0,A9&lt;=2),Drivers!C16/2,0)</f>
        <v>0</v>
      </c>
      <c r="H9" s="14">
        <f>IF(A9=(Drivers!C19+Drivers!C20),Drivers!C17*(1+Drivers!C21)^(A9/12),0)</f>
        <v>0</v>
      </c>
      <c r="I9" s="14">
        <f>IF(AND(A9&gt;0,A9&lt;=(Drivers!C19+Drivers!C20)),Drivers!C18*(1+Drivers!C23)^(A9/12),0)</f>
        <v>51157.12377</v>
      </c>
      <c r="J9" s="14">
        <f t="shared" si="1"/>
        <v>141268.5596</v>
      </c>
      <c r="K9" s="12">
        <f>IF(A9&gt;(Drivers!C19+Drivers!C20),MIN(1,0.5+0.5*(A9-(Drivers!C19+Drivers!C20))/Drivers!C39),0)</f>
        <v>0</v>
      </c>
      <c r="L9" s="14">
        <f>Drivers!C2*(B9-B8)*Drivers!C24*(1+Drivers!C22)^(A9/12)*Drivers!C25*K9</f>
        <v>0</v>
      </c>
      <c r="M9" s="14">
        <f>L9*Drivers!C26</f>
        <v>0</v>
      </c>
      <c r="N9" s="14">
        <f>(L9+M9)*Drivers!C27</f>
        <v>0</v>
      </c>
      <c r="O9" s="14">
        <f>IF(A9&gt;(Drivers!C19+Drivers!C20),Drivers!C28/12*(1+Drivers!C23)^(A9/12),0)</f>
        <v>0</v>
      </c>
      <c r="P9" s="14">
        <f>(L9+M9)*Drivers!C29</f>
        <v>0</v>
      </c>
      <c r="Q9" s="14">
        <f>Drivers!C3*Drivers!C30*(1+Drivers!C22)^(A9/12)*Drivers!C31*(1-Drivers!C32 )*K9</f>
        <v>0</v>
      </c>
      <c r="R9" s="14">
        <f>IF(A9&gt;(Drivers!C19+Drivers!C20),Drivers!C33/12*(1+Drivers!C23)^(A9/12),0)</f>
        <v>0</v>
      </c>
      <c r="S9" s="14">
        <f t="shared" si="2"/>
        <v>0</v>
      </c>
      <c r="T9" s="14">
        <f t="shared" si="6"/>
        <v>0</v>
      </c>
      <c r="U9" s="14">
        <f>IF(AND(A9&gt;Drivers!C19,A9&lt;=(Drivers!C19+Drivers!C20)),Summary!C31*D9,0)</f>
        <v>0</v>
      </c>
      <c r="V9" s="14">
        <f>IF(A9&lt;=(Drivers!C19+Drivers!C20),(T9+U9/2)*Drivers!C36/12,T9*Drivers!C36/12)</f>
        <v>0</v>
      </c>
      <c r="W9" s="14">
        <f>IF(A9&gt;(Drivers!C19+Drivers!C20),MIN(T9,MAX(0,Summary!C32/12-V9)),0)</f>
        <v>0</v>
      </c>
      <c r="X9" s="14">
        <f>IF(A9=(Drivers!C19+1),Summary!C31*Drivers!C38,0)</f>
        <v>0</v>
      </c>
      <c r="Y9" s="14">
        <f t="shared" si="3"/>
        <v>0</v>
      </c>
      <c r="Z9" s="14">
        <f t="shared" si="4"/>
        <v>-141268.5596</v>
      </c>
      <c r="AA9" s="14">
        <f t="shared" si="7"/>
        <v>-2476300.621</v>
      </c>
      <c r="AB9" s="14">
        <f t="shared" si="5"/>
        <v>-141268.5596</v>
      </c>
      <c r="AC9" s="14">
        <f>(E9+F9+G9+H9)*Drivers!C45</f>
        <v>13516.71537</v>
      </c>
      <c r="AD9" s="14">
        <f>IF(A9&lt;=Summary!C18,AB9+IF(A9=Summary!C18,Summary!C40,0),0)</f>
        <v>-141268.5596</v>
      </c>
      <c r="AE9" s="14">
        <f>IF(A9&lt;=Summary!C18,Z9+IF(A9=Summary!C18,Summary!C40-Y9,0),0)</f>
        <v>-141268.5596</v>
      </c>
      <c r="AF9" s="14">
        <f>AD9-IF(A9=0,Drivers!C44,0)</f>
        <v>-141268.5596</v>
      </c>
      <c r="AG9" s="14">
        <f t="shared" si="8"/>
        <v>-2476300.621</v>
      </c>
    </row>
    <row r="10">
      <c r="A10" s="2">
        <v>8.0</v>
      </c>
      <c r="B10" s="15">
        <f>EDATE(Setup!B2,A10)</f>
        <v>46521</v>
      </c>
      <c r="C10" s="2" t="str">
        <f>IF(A10=0,"T0",IF(A10&lt;=Drivers!C19,"Preconstruction",IF(A10&lt;=(Drivers!C19+Drivers!C20),"Construction","Trading")))</f>
        <v>Preconstruction</v>
      </c>
      <c r="D10" s="12">
        <f t="array" ref="D10">IF(AND(A10&gt;Drivers!C19,A10&lt;=(Drivers!C19+Drivers!C20)),SIN(PI()*(A10-Drivers!C19-0.5)/Drivers!C20)/SUMPRODUCT(SIN(PI()*(SEQUENCE(Drivers!C20,1)-0.5)/Drivers!C20)),0)</f>
        <v>0</v>
      </c>
      <c r="E10" s="14">
        <f>(Summary!C10+Summary!C12)*D10*(1+Drivers!C21)^(A10/12)</f>
        <v>0</v>
      </c>
      <c r="F10" s="14">
        <f>IF(AND(A10&gt;0,A10&lt;=Drivers!C19),Summary!C11*Drivers!C40/Drivers!C19*(1+Drivers!C21)^(A10/12),Summary!C11*(1-Drivers!C40 )*D10*(1+Drivers!C21)^(A10/12))</f>
        <v>90550.0578</v>
      </c>
      <c r="G10" s="14">
        <f>IF(AND(A10&gt;0,A10&lt;=2),Drivers!C16/2,0)</f>
        <v>0</v>
      </c>
      <c r="H10" s="14">
        <f>IF(A10=(Drivers!C19+Drivers!C20),Drivers!C17*(1+Drivers!C21)^(A10/12),0)</f>
        <v>0</v>
      </c>
      <c r="I10" s="14">
        <f>IF(AND(A10&gt;0,A10&lt;=(Drivers!C19+Drivers!C20)),Drivers!C18*(1+Drivers!C23)^(A10/12),0)</f>
        <v>51324.59888</v>
      </c>
      <c r="J10" s="14">
        <f t="shared" si="1"/>
        <v>141874.6567</v>
      </c>
      <c r="K10" s="12">
        <f>IF(A10&gt;(Drivers!C19+Drivers!C20),MIN(1,0.5+0.5*(A10-(Drivers!C19+Drivers!C20))/Drivers!C39),0)</f>
        <v>0</v>
      </c>
      <c r="L10" s="14">
        <f>Drivers!C2*(B10-B9)*Drivers!C24*(1+Drivers!C22)^(A10/12)*Drivers!C25*K10</f>
        <v>0</v>
      </c>
      <c r="M10" s="14">
        <f>L10*Drivers!C26</f>
        <v>0</v>
      </c>
      <c r="N10" s="14">
        <f>(L10+M10)*Drivers!C27</f>
        <v>0</v>
      </c>
      <c r="O10" s="14">
        <f>IF(A10&gt;(Drivers!C19+Drivers!C20),Drivers!C28/12*(1+Drivers!C23)^(A10/12),0)</f>
        <v>0</v>
      </c>
      <c r="P10" s="14">
        <f>(L10+M10)*Drivers!C29</f>
        <v>0</v>
      </c>
      <c r="Q10" s="14">
        <f>Drivers!C3*Drivers!C30*(1+Drivers!C22)^(A10/12)*Drivers!C31*(1-Drivers!C32 )*K10</f>
        <v>0</v>
      </c>
      <c r="R10" s="14">
        <f>IF(A10&gt;(Drivers!C19+Drivers!C20),Drivers!C33/12*(1+Drivers!C23)^(A10/12),0)</f>
        <v>0</v>
      </c>
      <c r="S10" s="14">
        <f t="shared" si="2"/>
        <v>0</v>
      </c>
      <c r="T10" s="14">
        <f t="shared" si="6"/>
        <v>0</v>
      </c>
      <c r="U10" s="14">
        <f>IF(AND(A10&gt;Drivers!C19,A10&lt;=(Drivers!C19+Drivers!C20)),Summary!C31*D10,0)</f>
        <v>0</v>
      </c>
      <c r="V10" s="14">
        <f>IF(A10&lt;=(Drivers!C19+Drivers!C20),(T10+U10/2)*Drivers!C36/12,T10*Drivers!C36/12)</f>
        <v>0</v>
      </c>
      <c r="W10" s="14">
        <f>IF(A10&gt;(Drivers!C19+Drivers!C20),MIN(T10,MAX(0,Summary!C32/12-V10)),0)</f>
        <v>0</v>
      </c>
      <c r="X10" s="14">
        <f>IF(A10=(Drivers!C19+1),Summary!C31*Drivers!C38,0)</f>
        <v>0</v>
      </c>
      <c r="Y10" s="14">
        <f t="shared" si="3"/>
        <v>0</v>
      </c>
      <c r="Z10" s="14">
        <f t="shared" si="4"/>
        <v>-141874.6567</v>
      </c>
      <c r="AA10" s="14">
        <f t="shared" si="7"/>
        <v>-2618175.278</v>
      </c>
      <c r="AB10" s="14">
        <f t="shared" si="5"/>
        <v>-141874.6567</v>
      </c>
      <c r="AC10" s="14">
        <f>(E10+F10+G10+H10)*Drivers!C45</f>
        <v>13582.50867</v>
      </c>
      <c r="AD10" s="14">
        <f>IF(A10&lt;=Summary!C18,AB10+IF(A10=Summary!C18,Summary!C40,0),0)</f>
        <v>-141874.6567</v>
      </c>
      <c r="AE10" s="14">
        <f>IF(A10&lt;=Summary!C18,Z10+IF(A10=Summary!C18,Summary!C40-Y10,0),0)</f>
        <v>-141874.6567</v>
      </c>
      <c r="AF10" s="14">
        <f>AD10-IF(A10=0,Drivers!C44,0)</f>
        <v>-141874.6567</v>
      </c>
      <c r="AG10" s="14">
        <f t="shared" si="8"/>
        <v>-2618175.278</v>
      </c>
    </row>
    <row r="11">
      <c r="A11" s="2">
        <v>9.0</v>
      </c>
      <c r="B11" s="15">
        <f>EDATE(Setup!B2,A11)</f>
        <v>46552</v>
      </c>
      <c r="C11" s="2" t="str">
        <f>IF(A11=0,"T0",IF(A11&lt;=Drivers!C19,"Preconstruction",IF(A11&lt;=(Drivers!C19+Drivers!C20),"Construction","Trading")))</f>
        <v>Preconstruction</v>
      </c>
      <c r="D11" s="12">
        <f t="array" ref="D11">IF(AND(A11&gt;Drivers!C19,A11&lt;=(Drivers!C19+Drivers!C20)),SIN(PI()*(A11-Drivers!C19-0.5)/Drivers!C20)/SUMPRODUCT(SIN(PI()*(SEQUENCE(Drivers!C20,1)-0.5)/Drivers!C20)),0)</f>
        <v>0</v>
      </c>
      <c r="E11" s="14">
        <f>(Summary!C10+Summary!C12)*D11*(1+Drivers!C21)^(A11/12)</f>
        <v>0</v>
      </c>
      <c r="F11" s="14">
        <f>IF(AND(A11&gt;0,A11&lt;=Drivers!C19),Summary!C11*Drivers!C40/Drivers!C19*(1+Drivers!C21)^(A11/12),Summary!C11*(1-Drivers!C40 )*D11*(1+Drivers!C21)^(A11/12))</f>
        <v>90990.81478</v>
      </c>
      <c r="G11" s="14">
        <f>IF(AND(A11&gt;0,A11&lt;=2),Drivers!C16/2,0)</f>
        <v>0</v>
      </c>
      <c r="H11" s="14">
        <f>IF(A11=(Drivers!C19+Drivers!C20),Drivers!C17*(1+Drivers!C21)^(A11/12),0)</f>
        <v>0</v>
      </c>
      <c r="I11" s="14">
        <f>IF(AND(A11&gt;0,A11&lt;=(Drivers!C19+Drivers!C20)),Drivers!C18*(1+Drivers!C23)^(A11/12),0)</f>
        <v>51492.62226</v>
      </c>
      <c r="J11" s="14">
        <f t="shared" si="1"/>
        <v>142483.437</v>
      </c>
      <c r="K11" s="12">
        <f>IF(A11&gt;(Drivers!C19+Drivers!C20),MIN(1,0.5+0.5*(A11-(Drivers!C19+Drivers!C20))/Drivers!C39),0)</f>
        <v>0</v>
      </c>
      <c r="L11" s="14">
        <f>Drivers!C2*(B11-B10)*Drivers!C24*(1+Drivers!C22)^(A11/12)*Drivers!C25*K11</f>
        <v>0</v>
      </c>
      <c r="M11" s="14">
        <f>L11*Drivers!C26</f>
        <v>0</v>
      </c>
      <c r="N11" s="14">
        <f>(L11+M11)*Drivers!C27</f>
        <v>0</v>
      </c>
      <c r="O11" s="14">
        <f>IF(A11&gt;(Drivers!C19+Drivers!C20),Drivers!C28/12*(1+Drivers!C23)^(A11/12),0)</f>
        <v>0</v>
      </c>
      <c r="P11" s="14">
        <f>(L11+M11)*Drivers!C29</f>
        <v>0</v>
      </c>
      <c r="Q11" s="14">
        <f>Drivers!C3*Drivers!C30*(1+Drivers!C22)^(A11/12)*Drivers!C31*(1-Drivers!C32 )*K11</f>
        <v>0</v>
      </c>
      <c r="R11" s="14">
        <f>IF(A11&gt;(Drivers!C19+Drivers!C20),Drivers!C33/12*(1+Drivers!C23)^(A11/12),0)</f>
        <v>0</v>
      </c>
      <c r="S11" s="14">
        <f t="shared" si="2"/>
        <v>0</v>
      </c>
      <c r="T11" s="14">
        <f t="shared" si="6"/>
        <v>0</v>
      </c>
      <c r="U11" s="14">
        <f>IF(AND(A11&gt;Drivers!C19,A11&lt;=(Drivers!C19+Drivers!C20)),Summary!C31*D11,0)</f>
        <v>0</v>
      </c>
      <c r="V11" s="14">
        <f>IF(A11&lt;=(Drivers!C19+Drivers!C20),(T11+U11/2)*Drivers!C36/12,T11*Drivers!C36/12)</f>
        <v>0</v>
      </c>
      <c r="W11" s="14">
        <f>IF(A11&gt;(Drivers!C19+Drivers!C20),MIN(T11,MAX(0,Summary!C32/12-V11)),0)</f>
        <v>0</v>
      </c>
      <c r="X11" s="14">
        <f>IF(A11=(Drivers!C19+1),Summary!C31*Drivers!C38,0)</f>
        <v>0</v>
      </c>
      <c r="Y11" s="14">
        <f t="shared" si="3"/>
        <v>0</v>
      </c>
      <c r="Z11" s="14">
        <f t="shared" si="4"/>
        <v>-142483.437</v>
      </c>
      <c r="AA11" s="14">
        <f t="shared" si="7"/>
        <v>-2760658.715</v>
      </c>
      <c r="AB11" s="14">
        <f t="shared" si="5"/>
        <v>-142483.437</v>
      </c>
      <c r="AC11" s="14">
        <f>(E11+F11+G11+H11)*Drivers!C45</f>
        <v>13648.62222</v>
      </c>
      <c r="AD11" s="14">
        <f>IF(A11&lt;=Summary!C18,AB11+IF(A11=Summary!C18,Summary!C40,0),0)</f>
        <v>-142483.437</v>
      </c>
      <c r="AE11" s="14">
        <f>IF(A11&lt;=Summary!C18,Z11+IF(A11=Summary!C18,Summary!C40-Y11,0),0)</f>
        <v>-142483.437</v>
      </c>
      <c r="AF11" s="14">
        <f>AD11-IF(A11=0,Drivers!C44,0)</f>
        <v>-142483.437</v>
      </c>
      <c r="AG11" s="14">
        <f t="shared" si="8"/>
        <v>-2760658.715</v>
      </c>
    </row>
    <row r="12">
      <c r="A12" s="2">
        <v>10.0</v>
      </c>
      <c r="B12" s="15">
        <f>EDATE(Setup!B2,A12)</f>
        <v>46582</v>
      </c>
      <c r="C12" s="2" t="str">
        <f>IF(A12=0,"T0",IF(A12&lt;=Drivers!C19,"Preconstruction",IF(A12&lt;=(Drivers!C19+Drivers!C20),"Construction","Trading")))</f>
        <v>Preconstruction</v>
      </c>
      <c r="D12" s="12">
        <f t="array" ref="D12">IF(AND(A12&gt;Drivers!C19,A12&lt;=(Drivers!C19+Drivers!C20)),SIN(PI()*(A12-Drivers!C19-0.5)/Drivers!C20)/SUMPRODUCT(SIN(PI()*(SEQUENCE(Drivers!C20,1)-0.5)/Drivers!C20)),0)</f>
        <v>0</v>
      </c>
      <c r="E12" s="14">
        <f>(Summary!C10+Summary!C12)*D12*(1+Drivers!C21)^(A12/12)</f>
        <v>0</v>
      </c>
      <c r="F12" s="14">
        <f>IF(AND(A12&gt;0,A12&lt;=Drivers!C19),Summary!C11*Drivers!C40/Drivers!C19*(1+Drivers!C21)^(A12/12),Summary!C11*(1-Drivers!C40 )*D12*(1+Drivers!C21)^(A12/12))</f>
        <v>91433.71717</v>
      </c>
      <c r="G12" s="14">
        <f>IF(AND(A12&gt;0,A12&lt;=2),Drivers!C16/2,0)</f>
        <v>0</v>
      </c>
      <c r="H12" s="14">
        <f>IF(A12=(Drivers!C19+Drivers!C20),Drivers!C17*(1+Drivers!C21)^(A12/12),0)</f>
        <v>0</v>
      </c>
      <c r="I12" s="14">
        <f>IF(AND(A12&gt;0,A12&lt;=(Drivers!C19+Drivers!C20)),Drivers!C18*(1+Drivers!C23)^(A12/12),0)</f>
        <v>51661.1957</v>
      </c>
      <c r="J12" s="14">
        <f t="shared" si="1"/>
        <v>143094.9129</v>
      </c>
      <c r="K12" s="12">
        <f>IF(A12&gt;(Drivers!C19+Drivers!C20),MIN(1,0.5+0.5*(A12-(Drivers!C19+Drivers!C20))/Drivers!C39),0)</f>
        <v>0</v>
      </c>
      <c r="L12" s="14">
        <f>Drivers!C2*(B12-B11)*Drivers!C24*(1+Drivers!C22)^(A12/12)*Drivers!C25*K12</f>
        <v>0</v>
      </c>
      <c r="M12" s="14">
        <f>L12*Drivers!C26</f>
        <v>0</v>
      </c>
      <c r="N12" s="14">
        <f>(L12+M12)*Drivers!C27</f>
        <v>0</v>
      </c>
      <c r="O12" s="14">
        <f>IF(A12&gt;(Drivers!C19+Drivers!C20),Drivers!C28/12*(1+Drivers!C23)^(A12/12),0)</f>
        <v>0</v>
      </c>
      <c r="P12" s="14">
        <f>(L12+M12)*Drivers!C29</f>
        <v>0</v>
      </c>
      <c r="Q12" s="14">
        <f>Drivers!C3*Drivers!C30*(1+Drivers!C22)^(A12/12)*Drivers!C31*(1-Drivers!C32 )*K12</f>
        <v>0</v>
      </c>
      <c r="R12" s="14">
        <f>IF(A12&gt;(Drivers!C19+Drivers!C20),Drivers!C33/12*(1+Drivers!C23)^(A12/12),0)</f>
        <v>0</v>
      </c>
      <c r="S12" s="14">
        <f t="shared" si="2"/>
        <v>0</v>
      </c>
      <c r="T12" s="14">
        <f t="shared" si="6"/>
        <v>0</v>
      </c>
      <c r="U12" s="14">
        <f>IF(AND(A12&gt;Drivers!C19,A12&lt;=(Drivers!C19+Drivers!C20)),Summary!C31*D12,0)</f>
        <v>0</v>
      </c>
      <c r="V12" s="14">
        <f>IF(A12&lt;=(Drivers!C19+Drivers!C20),(T12+U12/2)*Drivers!C36/12,T12*Drivers!C36/12)</f>
        <v>0</v>
      </c>
      <c r="W12" s="14">
        <f>IF(A12&gt;(Drivers!C19+Drivers!C20),MIN(T12,MAX(0,Summary!C32/12-V12)),0)</f>
        <v>0</v>
      </c>
      <c r="X12" s="14">
        <f>IF(A12=(Drivers!C19+1),Summary!C31*Drivers!C38,0)</f>
        <v>0</v>
      </c>
      <c r="Y12" s="14">
        <f t="shared" si="3"/>
        <v>0</v>
      </c>
      <c r="Z12" s="14">
        <f t="shared" si="4"/>
        <v>-143094.9129</v>
      </c>
      <c r="AA12" s="14">
        <f t="shared" si="7"/>
        <v>-2903753.627</v>
      </c>
      <c r="AB12" s="14">
        <f t="shared" si="5"/>
        <v>-143094.9129</v>
      </c>
      <c r="AC12" s="14">
        <f>(E12+F12+G12+H12)*Drivers!C45</f>
        <v>13715.05758</v>
      </c>
      <c r="AD12" s="14">
        <f>IF(A12&lt;=Summary!C18,AB12+IF(A12=Summary!C18,Summary!C40,0),0)</f>
        <v>-143094.9129</v>
      </c>
      <c r="AE12" s="14">
        <f>IF(A12&lt;=Summary!C18,Z12+IF(A12=Summary!C18,Summary!C40-Y12,0),0)</f>
        <v>-143094.9129</v>
      </c>
      <c r="AF12" s="14">
        <f>AD12-IF(A12=0,Drivers!C44,0)</f>
        <v>-143094.9129</v>
      </c>
      <c r="AG12" s="14">
        <f t="shared" si="8"/>
        <v>-2903753.627</v>
      </c>
    </row>
    <row r="13">
      <c r="A13" s="2">
        <v>11.0</v>
      </c>
      <c r="B13" s="15">
        <f>EDATE(Setup!B2,A13)</f>
        <v>46613</v>
      </c>
      <c r="C13" s="2" t="str">
        <f>IF(A13=0,"T0",IF(A13&lt;=Drivers!C19,"Preconstruction",IF(A13&lt;=(Drivers!C19+Drivers!C20),"Construction","Trading")))</f>
        <v>Preconstruction</v>
      </c>
      <c r="D13" s="12">
        <f t="array" ref="D13">IF(AND(A13&gt;Drivers!C19,A13&lt;=(Drivers!C19+Drivers!C20)),SIN(PI()*(A13-Drivers!C19-0.5)/Drivers!C20)/SUMPRODUCT(SIN(PI()*(SEQUENCE(Drivers!C20,1)-0.5)/Drivers!C20)),0)</f>
        <v>0</v>
      </c>
      <c r="E13" s="14">
        <f>(Summary!C10+Summary!C12)*D13*(1+Drivers!C21)^(A13/12)</f>
        <v>0</v>
      </c>
      <c r="F13" s="14">
        <f>IF(AND(A13&gt;0,A13&lt;=Drivers!C19),Summary!C11*Drivers!C40/Drivers!C19*(1+Drivers!C21)^(A13/12),Summary!C11*(1-Drivers!C40 )*D13*(1+Drivers!C21)^(A13/12))</f>
        <v>91878.77541</v>
      </c>
      <c r="G13" s="14">
        <f>IF(AND(A13&gt;0,A13&lt;=2),Drivers!C16/2,0)</f>
        <v>0</v>
      </c>
      <c r="H13" s="14">
        <f>IF(A13=(Drivers!C19+Drivers!C20),Drivers!C17*(1+Drivers!C21)^(A13/12),0)</f>
        <v>0</v>
      </c>
      <c r="I13" s="14">
        <f>IF(AND(A13&gt;0,A13&lt;=(Drivers!C19+Drivers!C20)),Drivers!C18*(1+Drivers!C23)^(A13/12),0)</f>
        <v>51830.32102</v>
      </c>
      <c r="J13" s="14">
        <f t="shared" si="1"/>
        <v>143709.0964</v>
      </c>
      <c r="K13" s="12">
        <f>IF(A13&gt;(Drivers!C19+Drivers!C20),MIN(1,0.5+0.5*(A13-(Drivers!C19+Drivers!C20))/Drivers!C39),0)</f>
        <v>0</v>
      </c>
      <c r="L13" s="14">
        <f>Drivers!C2*(B13-B12)*Drivers!C24*(1+Drivers!C22)^(A13/12)*Drivers!C25*K13</f>
        <v>0</v>
      </c>
      <c r="M13" s="14">
        <f>L13*Drivers!C26</f>
        <v>0</v>
      </c>
      <c r="N13" s="14">
        <f>(L13+M13)*Drivers!C27</f>
        <v>0</v>
      </c>
      <c r="O13" s="14">
        <f>IF(A13&gt;(Drivers!C19+Drivers!C20),Drivers!C28/12*(1+Drivers!C23)^(A13/12),0)</f>
        <v>0</v>
      </c>
      <c r="P13" s="14">
        <f>(L13+M13)*Drivers!C29</f>
        <v>0</v>
      </c>
      <c r="Q13" s="14">
        <f>Drivers!C3*Drivers!C30*(1+Drivers!C22)^(A13/12)*Drivers!C31*(1-Drivers!C32 )*K13</f>
        <v>0</v>
      </c>
      <c r="R13" s="14">
        <f>IF(A13&gt;(Drivers!C19+Drivers!C20),Drivers!C33/12*(1+Drivers!C23)^(A13/12),0)</f>
        <v>0</v>
      </c>
      <c r="S13" s="14">
        <f t="shared" si="2"/>
        <v>0</v>
      </c>
      <c r="T13" s="14">
        <f t="shared" si="6"/>
        <v>0</v>
      </c>
      <c r="U13" s="14">
        <f>IF(AND(A13&gt;Drivers!C19,A13&lt;=(Drivers!C19+Drivers!C20)),Summary!C31*D13,0)</f>
        <v>0</v>
      </c>
      <c r="V13" s="14">
        <f>IF(A13&lt;=(Drivers!C19+Drivers!C20),(T13+U13/2)*Drivers!C36/12,T13*Drivers!C36/12)</f>
        <v>0</v>
      </c>
      <c r="W13" s="14">
        <f>IF(A13&gt;(Drivers!C19+Drivers!C20),MIN(T13,MAX(0,Summary!C32/12-V13)),0)</f>
        <v>0</v>
      </c>
      <c r="X13" s="14">
        <f>IF(A13=(Drivers!C19+1),Summary!C31*Drivers!C38,0)</f>
        <v>0</v>
      </c>
      <c r="Y13" s="14">
        <f t="shared" si="3"/>
        <v>0</v>
      </c>
      <c r="Z13" s="14">
        <f t="shared" si="4"/>
        <v>-143709.0964</v>
      </c>
      <c r="AA13" s="14">
        <f t="shared" si="7"/>
        <v>-3047462.724</v>
      </c>
      <c r="AB13" s="14">
        <f t="shared" si="5"/>
        <v>-143709.0964</v>
      </c>
      <c r="AC13" s="14">
        <f>(E13+F13+G13+H13)*Drivers!C45</f>
        <v>13781.81631</v>
      </c>
      <c r="AD13" s="14">
        <f>IF(A13&lt;=Summary!C18,AB13+IF(A13=Summary!C18,Summary!C40,0),0)</f>
        <v>-143709.0964</v>
      </c>
      <c r="AE13" s="14">
        <f>IF(A13&lt;=Summary!C18,Z13+IF(A13=Summary!C18,Summary!C40-Y13,0),0)</f>
        <v>-143709.0964</v>
      </c>
      <c r="AF13" s="14">
        <f>AD13-IF(A13=0,Drivers!C44,0)</f>
        <v>-143709.0964</v>
      </c>
      <c r="AG13" s="14">
        <f t="shared" si="8"/>
        <v>-3047462.724</v>
      </c>
    </row>
    <row r="14">
      <c r="A14" s="2">
        <v>12.0</v>
      </c>
      <c r="B14" s="15">
        <f>EDATE(Setup!B2,A14)</f>
        <v>46644</v>
      </c>
      <c r="C14" s="2" t="str">
        <f>IF(A14=0,"T0",IF(A14&lt;=Drivers!C19,"Preconstruction",IF(A14&lt;=(Drivers!C19+Drivers!C20),"Construction","Trading")))</f>
        <v>Preconstruction</v>
      </c>
      <c r="D14" s="12">
        <f t="array" ref="D14">IF(AND(A14&gt;Drivers!C19,A14&lt;=(Drivers!C19+Drivers!C20)),SIN(PI()*(A14-Drivers!C19-0.5)/Drivers!C20)/SUMPRODUCT(SIN(PI()*(SEQUENCE(Drivers!C20,1)-0.5)/Drivers!C20)),0)</f>
        <v>0</v>
      </c>
      <c r="E14" s="14">
        <f>(Summary!C10+Summary!C12)*D14*(1+Drivers!C21)^(A14/12)</f>
        <v>0</v>
      </c>
      <c r="F14" s="14">
        <f>IF(AND(A14&gt;0,A14&lt;=Drivers!C19),Summary!C11*Drivers!C40/Drivers!C19*(1+Drivers!C21)^(A14/12),Summary!C11*(1-Drivers!C40 )*D14*(1+Drivers!C21)^(A14/12))</f>
        <v>92326</v>
      </c>
      <c r="G14" s="14">
        <f>IF(AND(A14&gt;0,A14&lt;=2),Drivers!C16/2,0)</f>
        <v>0</v>
      </c>
      <c r="H14" s="14">
        <f>IF(A14=(Drivers!C19+Drivers!C20),Drivers!C17*(1+Drivers!C21)^(A14/12),0)</f>
        <v>0</v>
      </c>
      <c r="I14" s="14">
        <f>IF(AND(A14&gt;0,A14&lt;=(Drivers!C19+Drivers!C20)),Drivers!C18*(1+Drivers!C23)^(A14/12),0)</f>
        <v>52000</v>
      </c>
      <c r="J14" s="14">
        <f t="shared" si="1"/>
        <v>144326</v>
      </c>
      <c r="K14" s="12">
        <f>IF(A14&gt;(Drivers!C19+Drivers!C20),MIN(1,0.5+0.5*(A14-(Drivers!C19+Drivers!C20))/Drivers!C39),0)</f>
        <v>0</v>
      </c>
      <c r="L14" s="14">
        <f>Drivers!C2*(B14-B13)*Drivers!C24*(1+Drivers!C22)^(A14/12)*Drivers!C25*K14</f>
        <v>0</v>
      </c>
      <c r="M14" s="14">
        <f>L14*Drivers!C26</f>
        <v>0</v>
      </c>
      <c r="N14" s="14">
        <f>(L14+M14)*Drivers!C27</f>
        <v>0</v>
      </c>
      <c r="O14" s="14">
        <f>IF(A14&gt;(Drivers!C19+Drivers!C20),Drivers!C28/12*(1+Drivers!C23)^(A14/12),0)</f>
        <v>0</v>
      </c>
      <c r="P14" s="14">
        <f>(L14+M14)*Drivers!C29</f>
        <v>0</v>
      </c>
      <c r="Q14" s="14">
        <f>Drivers!C3*Drivers!C30*(1+Drivers!C22)^(A14/12)*Drivers!C31*(1-Drivers!C32 )*K14</f>
        <v>0</v>
      </c>
      <c r="R14" s="14">
        <f>IF(A14&gt;(Drivers!C19+Drivers!C20),Drivers!C33/12*(1+Drivers!C23)^(A14/12),0)</f>
        <v>0</v>
      </c>
      <c r="S14" s="14">
        <f t="shared" si="2"/>
        <v>0</v>
      </c>
      <c r="T14" s="14">
        <f t="shared" si="6"/>
        <v>0</v>
      </c>
      <c r="U14" s="14">
        <f>IF(AND(A14&gt;Drivers!C19,A14&lt;=(Drivers!C19+Drivers!C20)),Summary!C31*D14,0)</f>
        <v>0</v>
      </c>
      <c r="V14" s="14">
        <f>IF(A14&lt;=(Drivers!C19+Drivers!C20),(T14+U14/2)*Drivers!C36/12,T14*Drivers!C36/12)</f>
        <v>0</v>
      </c>
      <c r="W14" s="14">
        <f>IF(A14&gt;(Drivers!C19+Drivers!C20),MIN(T14,MAX(0,Summary!C32/12-V14)),0)</f>
        <v>0</v>
      </c>
      <c r="X14" s="14">
        <f>IF(A14=(Drivers!C19+1),Summary!C31*Drivers!C38,0)</f>
        <v>0</v>
      </c>
      <c r="Y14" s="14">
        <f t="shared" si="3"/>
        <v>0</v>
      </c>
      <c r="Z14" s="14">
        <f t="shared" si="4"/>
        <v>-144326</v>
      </c>
      <c r="AA14" s="14">
        <f t="shared" si="7"/>
        <v>-3191788.724</v>
      </c>
      <c r="AB14" s="14">
        <f t="shared" si="5"/>
        <v>-144326</v>
      </c>
      <c r="AC14" s="14">
        <f>(E14+F14+G14+H14)*Drivers!C45</f>
        <v>13848.9</v>
      </c>
      <c r="AD14" s="14">
        <f>IF(A14&lt;=Summary!C18,AB14+IF(A14=Summary!C18,Summary!C40,0),0)</f>
        <v>-144326</v>
      </c>
      <c r="AE14" s="14">
        <f>IF(A14&lt;=Summary!C18,Z14+IF(A14=Summary!C18,Summary!C40-Y14,0),0)</f>
        <v>-144326</v>
      </c>
      <c r="AF14" s="14">
        <f>AD14-IF(A14=0,Drivers!C44,0)</f>
        <v>-144326</v>
      </c>
      <c r="AG14" s="14">
        <f t="shared" si="8"/>
        <v>-3191788.724</v>
      </c>
    </row>
    <row r="15">
      <c r="A15" s="2">
        <v>13.0</v>
      </c>
      <c r="B15" s="15">
        <f>EDATE(Setup!B2,A15)</f>
        <v>46674</v>
      </c>
      <c r="C15" s="2" t="str">
        <f>IF(A15=0,"T0",IF(A15&lt;=Drivers!C19,"Preconstruction",IF(A15&lt;=(Drivers!C19+Drivers!C20),"Construction","Trading")))</f>
        <v>Preconstruction</v>
      </c>
      <c r="D15" s="12">
        <f t="array" ref="D15">IF(AND(A15&gt;Drivers!C19,A15&lt;=(Drivers!C19+Drivers!C20)),SIN(PI()*(A15-Drivers!C19-0.5)/Drivers!C20)/SUMPRODUCT(SIN(PI()*(SEQUENCE(Drivers!C20,1)-0.5)/Drivers!C20)),0)</f>
        <v>0</v>
      </c>
      <c r="E15" s="14">
        <f>(Summary!C10+Summary!C12)*D15*(1+Drivers!C21)^(A15/12)</f>
        <v>0</v>
      </c>
      <c r="F15" s="14">
        <f>IF(AND(A15&gt;0,A15&lt;=Drivers!C19),Summary!C11*Drivers!C40/Drivers!C19*(1+Drivers!C21)^(A15/12),Summary!C11*(1-Drivers!C40 )*D15*(1+Drivers!C21)^(A15/12))</f>
        <v>92775.40147</v>
      </c>
      <c r="G15" s="14">
        <f>IF(AND(A15&gt;0,A15&lt;=2),Drivers!C16/2,0)</f>
        <v>0</v>
      </c>
      <c r="H15" s="14">
        <f>IF(A15=(Drivers!C19+Drivers!C20),Drivers!C17*(1+Drivers!C21)^(A15/12),0)</f>
        <v>0</v>
      </c>
      <c r="I15" s="14">
        <f>IF(AND(A15&gt;0,A15&lt;=(Drivers!C19+Drivers!C20)),Drivers!C18*(1+Drivers!C23)^(A15/12),0)</f>
        <v>52170.23447</v>
      </c>
      <c r="J15" s="14">
        <f t="shared" si="1"/>
        <v>144945.6359</v>
      </c>
      <c r="K15" s="12">
        <f>IF(A15&gt;(Drivers!C19+Drivers!C20),MIN(1,0.5+0.5*(A15-(Drivers!C19+Drivers!C20))/Drivers!C39),0)</f>
        <v>0</v>
      </c>
      <c r="L15" s="14">
        <f>Drivers!C2*(B15-B14)*Drivers!C24*(1+Drivers!C22)^(A15/12)*Drivers!C25*K15</f>
        <v>0</v>
      </c>
      <c r="M15" s="14">
        <f>L15*Drivers!C26</f>
        <v>0</v>
      </c>
      <c r="N15" s="14">
        <f>(L15+M15)*Drivers!C27</f>
        <v>0</v>
      </c>
      <c r="O15" s="14">
        <f>IF(A15&gt;(Drivers!C19+Drivers!C20),Drivers!C28/12*(1+Drivers!C23)^(A15/12),0)</f>
        <v>0</v>
      </c>
      <c r="P15" s="14">
        <f>(L15+M15)*Drivers!C29</f>
        <v>0</v>
      </c>
      <c r="Q15" s="14">
        <f>Drivers!C3*Drivers!C30*(1+Drivers!C22)^(A15/12)*Drivers!C31*(1-Drivers!C32 )*K15</f>
        <v>0</v>
      </c>
      <c r="R15" s="14">
        <f>IF(A15&gt;(Drivers!C19+Drivers!C20),Drivers!C33/12*(1+Drivers!C23)^(A15/12),0)</f>
        <v>0</v>
      </c>
      <c r="S15" s="14">
        <f t="shared" si="2"/>
        <v>0</v>
      </c>
      <c r="T15" s="14">
        <f t="shared" si="6"/>
        <v>0</v>
      </c>
      <c r="U15" s="14">
        <f>IF(AND(A15&gt;Drivers!C19,A15&lt;=(Drivers!C19+Drivers!C20)),Summary!C31*D15,0)</f>
        <v>0</v>
      </c>
      <c r="V15" s="14">
        <f>IF(A15&lt;=(Drivers!C19+Drivers!C20),(T15+U15/2)*Drivers!C36/12,T15*Drivers!C36/12)</f>
        <v>0</v>
      </c>
      <c r="W15" s="14">
        <f>IF(A15&gt;(Drivers!C19+Drivers!C20),MIN(T15,MAX(0,Summary!C32/12-V15)),0)</f>
        <v>0</v>
      </c>
      <c r="X15" s="14">
        <f>IF(A15=(Drivers!C19+1),Summary!C31*Drivers!C38,0)</f>
        <v>0</v>
      </c>
      <c r="Y15" s="14">
        <f t="shared" si="3"/>
        <v>0</v>
      </c>
      <c r="Z15" s="14">
        <f t="shared" si="4"/>
        <v>-144945.6359</v>
      </c>
      <c r="AA15" s="14">
        <f t="shared" si="7"/>
        <v>-3336734.36</v>
      </c>
      <c r="AB15" s="14">
        <f t="shared" si="5"/>
        <v>-144945.6359</v>
      </c>
      <c r="AC15" s="14">
        <f>(E15+F15+G15+H15)*Drivers!C45</f>
        <v>13916.31022</v>
      </c>
      <c r="AD15" s="14">
        <f>IF(A15&lt;=Summary!C18,AB15+IF(A15=Summary!C18,Summary!C40,0),0)</f>
        <v>-144945.6359</v>
      </c>
      <c r="AE15" s="14">
        <f>IF(A15&lt;=Summary!C18,Z15+IF(A15=Summary!C18,Summary!C40-Y15,0),0)</f>
        <v>-144945.6359</v>
      </c>
      <c r="AF15" s="14">
        <f>AD15-IF(A15=0,Drivers!C44,0)</f>
        <v>-144945.6359</v>
      </c>
      <c r="AG15" s="14">
        <f t="shared" si="8"/>
        <v>-3336734.36</v>
      </c>
    </row>
    <row r="16">
      <c r="A16" s="2">
        <v>14.0</v>
      </c>
      <c r="B16" s="15">
        <f>EDATE(Setup!B2,A16)</f>
        <v>46705</v>
      </c>
      <c r="C16" s="2" t="str">
        <f>IF(A16=0,"T0",IF(A16&lt;=Drivers!C19,"Preconstruction",IF(A16&lt;=(Drivers!C19+Drivers!C20),"Construction","Trading")))</f>
        <v>Preconstruction</v>
      </c>
      <c r="D16" s="12">
        <f t="array" ref="D16">IF(AND(A16&gt;Drivers!C19,A16&lt;=(Drivers!C19+Drivers!C20)),SIN(PI()*(A16-Drivers!C19-0.5)/Drivers!C20)/SUMPRODUCT(SIN(PI()*(SEQUENCE(Drivers!C20,1)-0.5)/Drivers!C20)),0)</f>
        <v>0</v>
      </c>
      <c r="E16" s="14">
        <f>(Summary!C10+Summary!C12)*D16*(1+Drivers!C21)^(A16/12)</f>
        <v>0</v>
      </c>
      <c r="F16" s="14">
        <f>IF(AND(A16&gt;0,A16&lt;=Drivers!C19),Summary!C11*Drivers!C40/Drivers!C19*(1+Drivers!C21)^(A16/12),Summary!C11*(1-Drivers!C40 )*D16*(1+Drivers!C21)^(A16/12))</f>
        <v>93226.99043</v>
      </c>
      <c r="G16" s="14">
        <f>IF(AND(A16&gt;0,A16&lt;=2),Drivers!C16/2,0)</f>
        <v>0</v>
      </c>
      <c r="H16" s="14">
        <f>IF(A16=(Drivers!C19+Drivers!C20),Drivers!C17*(1+Drivers!C21)^(A16/12),0)</f>
        <v>0</v>
      </c>
      <c r="I16" s="14">
        <f>IF(AND(A16&gt;0,A16&lt;=(Drivers!C19+Drivers!C20)),Drivers!C18*(1+Drivers!C23)^(A16/12),0)</f>
        <v>52341.02624</v>
      </c>
      <c r="J16" s="14">
        <f t="shared" si="1"/>
        <v>145568.0167</v>
      </c>
      <c r="K16" s="12">
        <f>IF(A16&gt;(Drivers!C19+Drivers!C20),MIN(1,0.5+0.5*(A16-(Drivers!C19+Drivers!C20))/Drivers!C39),0)</f>
        <v>0</v>
      </c>
      <c r="L16" s="14">
        <f>Drivers!C2*(B16-B15)*Drivers!C24*(1+Drivers!C22)^(A16/12)*Drivers!C25*K16</f>
        <v>0</v>
      </c>
      <c r="M16" s="14">
        <f>L16*Drivers!C26</f>
        <v>0</v>
      </c>
      <c r="N16" s="14">
        <f>(L16+M16)*Drivers!C27</f>
        <v>0</v>
      </c>
      <c r="O16" s="14">
        <f>IF(A16&gt;(Drivers!C19+Drivers!C20),Drivers!C28/12*(1+Drivers!C23)^(A16/12),0)</f>
        <v>0</v>
      </c>
      <c r="P16" s="14">
        <f>(L16+M16)*Drivers!C29</f>
        <v>0</v>
      </c>
      <c r="Q16" s="14">
        <f>Drivers!C3*Drivers!C30*(1+Drivers!C22)^(A16/12)*Drivers!C31*(1-Drivers!C32 )*K16</f>
        <v>0</v>
      </c>
      <c r="R16" s="14">
        <f>IF(A16&gt;(Drivers!C19+Drivers!C20),Drivers!C33/12*(1+Drivers!C23)^(A16/12),0)</f>
        <v>0</v>
      </c>
      <c r="S16" s="14">
        <f t="shared" si="2"/>
        <v>0</v>
      </c>
      <c r="T16" s="14">
        <f t="shared" si="6"/>
        <v>0</v>
      </c>
      <c r="U16" s="14">
        <f>IF(AND(A16&gt;Drivers!C19,A16&lt;=(Drivers!C19+Drivers!C20)),Summary!C31*D16,0)</f>
        <v>0</v>
      </c>
      <c r="V16" s="14">
        <f>IF(A16&lt;=(Drivers!C19+Drivers!C20),(T16+U16/2)*Drivers!C36/12,T16*Drivers!C36/12)</f>
        <v>0</v>
      </c>
      <c r="W16" s="14">
        <f>IF(A16&gt;(Drivers!C19+Drivers!C20),MIN(T16,MAX(0,Summary!C32/12-V16)),0)</f>
        <v>0</v>
      </c>
      <c r="X16" s="14">
        <f>IF(A16=(Drivers!C19+1),Summary!C31*Drivers!C38,0)</f>
        <v>0</v>
      </c>
      <c r="Y16" s="14">
        <f t="shared" si="3"/>
        <v>0</v>
      </c>
      <c r="Z16" s="14">
        <f t="shared" si="4"/>
        <v>-145568.0167</v>
      </c>
      <c r="AA16" s="14">
        <f t="shared" si="7"/>
        <v>-3482302.377</v>
      </c>
      <c r="AB16" s="14">
        <f t="shared" si="5"/>
        <v>-145568.0167</v>
      </c>
      <c r="AC16" s="14">
        <f>(E16+F16+G16+H16)*Drivers!C45</f>
        <v>13984.04856</v>
      </c>
      <c r="AD16" s="14">
        <f>IF(A16&lt;=Summary!C18,AB16+IF(A16=Summary!C18,Summary!C40,0),0)</f>
        <v>-145568.0167</v>
      </c>
      <c r="AE16" s="14">
        <f>IF(A16&lt;=Summary!C18,Z16+IF(A16=Summary!C18,Summary!C40-Y16,0),0)</f>
        <v>-145568.0167</v>
      </c>
      <c r="AF16" s="14">
        <f>AD16-IF(A16=0,Drivers!C44,0)</f>
        <v>-145568.0167</v>
      </c>
      <c r="AG16" s="14">
        <f t="shared" si="8"/>
        <v>-3482302.377</v>
      </c>
    </row>
    <row r="17">
      <c r="A17" s="2">
        <v>15.0</v>
      </c>
      <c r="B17" s="15">
        <f>EDATE(Setup!B2,A17)</f>
        <v>46735</v>
      </c>
      <c r="C17" s="2" t="str">
        <f>IF(A17=0,"T0",IF(A17&lt;=Drivers!C19,"Preconstruction",IF(A17&lt;=(Drivers!C19+Drivers!C20),"Construction","Trading")))</f>
        <v>Preconstruction</v>
      </c>
      <c r="D17" s="12">
        <f t="array" ref="D17">IF(AND(A17&gt;Drivers!C19,A17&lt;=(Drivers!C19+Drivers!C20)),SIN(PI()*(A17-Drivers!C19-0.5)/Drivers!C20)/SUMPRODUCT(SIN(PI()*(SEQUENCE(Drivers!C20,1)-0.5)/Drivers!C20)),0)</f>
        <v>0</v>
      </c>
      <c r="E17" s="14">
        <f>(Summary!C10+Summary!C12)*D17*(1+Drivers!C21)^(A17/12)</f>
        <v>0</v>
      </c>
      <c r="F17" s="14">
        <f>IF(AND(A17&gt;0,A17&lt;=Drivers!C19),Summary!C11*Drivers!C40/Drivers!C19*(1+Drivers!C21)^(A17/12),Summary!C11*(1-Drivers!C40 )*D17*(1+Drivers!C21)^(A17/12))</f>
        <v>93680.77752</v>
      </c>
      <c r="G17" s="14">
        <f>IF(AND(A17&gt;0,A17&lt;=2),Drivers!C16/2,0)</f>
        <v>0</v>
      </c>
      <c r="H17" s="14">
        <f>IF(A17=(Drivers!C19+Drivers!C20),Drivers!C17*(1+Drivers!C21)^(A17/12),0)</f>
        <v>0</v>
      </c>
      <c r="I17" s="14">
        <f>IF(AND(A17&gt;0,A17&lt;=(Drivers!C19+Drivers!C20)),Drivers!C18*(1+Drivers!C23)^(A17/12),0)</f>
        <v>52512.37714</v>
      </c>
      <c r="J17" s="14">
        <f t="shared" si="1"/>
        <v>146193.1547</v>
      </c>
      <c r="K17" s="12">
        <f>IF(A17&gt;(Drivers!C19+Drivers!C20),MIN(1,0.5+0.5*(A17-(Drivers!C19+Drivers!C20))/Drivers!C39),0)</f>
        <v>0</v>
      </c>
      <c r="L17" s="14">
        <f>Drivers!C2*(B17-B16)*Drivers!C24*(1+Drivers!C22)^(A17/12)*Drivers!C25*K17</f>
        <v>0</v>
      </c>
      <c r="M17" s="14">
        <f>L17*Drivers!C26</f>
        <v>0</v>
      </c>
      <c r="N17" s="14">
        <f>(L17+M17)*Drivers!C27</f>
        <v>0</v>
      </c>
      <c r="O17" s="14">
        <f>IF(A17&gt;(Drivers!C19+Drivers!C20),Drivers!C28/12*(1+Drivers!C23)^(A17/12),0)</f>
        <v>0</v>
      </c>
      <c r="P17" s="14">
        <f>(L17+M17)*Drivers!C29</f>
        <v>0</v>
      </c>
      <c r="Q17" s="14">
        <f>Drivers!C3*Drivers!C30*(1+Drivers!C22)^(A17/12)*Drivers!C31*(1-Drivers!C32 )*K17</f>
        <v>0</v>
      </c>
      <c r="R17" s="14">
        <f>IF(A17&gt;(Drivers!C19+Drivers!C20),Drivers!C33/12*(1+Drivers!C23)^(A17/12),0)</f>
        <v>0</v>
      </c>
      <c r="S17" s="14">
        <f t="shared" si="2"/>
        <v>0</v>
      </c>
      <c r="T17" s="14">
        <f t="shared" si="6"/>
        <v>0</v>
      </c>
      <c r="U17" s="14">
        <f>IF(AND(A17&gt;Drivers!C19,A17&lt;=(Drivers!C19+Drivers!C20)),Summary!C31*D17,0)</f>
        <v>0</v>
      </c>
      <c r="V17" s="14">
        <f>IF(A17&lt;=(Drivers!C19+Drivers!C20),(T17+U17/2)*Drivers!C36/12,T17*Drivers!C36/12)</f>
        <v>0</v>
      </c>
      <c r="W17" s="14">
        <f>IF(A17&gt;(Drivers!C19+Drivers!C20),MIN(T17,MAX(0,Summary!C32/12-V17)),0)</f>
        <v>0</v>
      </c>
      <c r="X17" s="14">
        <f>IF(A17=(Drivers!C19+1),Summary!C31*Drivers!C38,0)</f>
        <v>0</v>
      </c>
      <c r="Y17" s="14">
        <f t="shared" si="3"/>
        <v>0</v>
      </c>
      <c r="Z17" s="14">
        <f t="shared" si="4"/>
        <v>-146193.1547</v>
      </c>
      <c r="AA17" s="14">
        <f t="shared" si="7"/>
        <v>-3628495.531</v>
      </c>
      <c r="AB17" s="14">
        <f t="shared" si="5"/>
        <v>-146193.1547</v>
      </c>
      <c r="AC17" s="14">
        <f>(E17+F17+G17+H17)*Drivers!C45</f>
        <v>14052.11663</v>
      </c>
      <c r="AD17" s="14">
        <f>IF(A17&lt;=Summary!C18,AB17+IF(A17=Summary!C18,Summary!C40,0),0)</f>
        <v>-146193.1547</v>
      </c>
      <c r="AE17" s="14">
        <f>IF(A17&lt;=Summary!C18,Z17+IF(A17=Summary!C18,Summary!C40-Y17,0),0)</f>
        <v>-146193.1547</v>
      </c>
      <c r="AF17" s="14">
        <f>AD17-IF(A17=0,Drivers!C44,0)</f>
        <v>-146193.1547</v>
      </c>
      <c r="AG17" s="14">
        <f t="shared" si="8"/>
        <v>-3628495.531</v>
      </c>
    </row>
    <row r="18">
      <c r="A18" s="2">
        <v>16.0</v>
      </c>
      <c r="B18" s="15">
        <f>EDATE(Setup!B2,A18)</f>
        <v>46766</v>
      </c>
      <c r="C18" s="2" t="str">
        <f>IF(A18=0,"T0",IF(A18&lt;=Drivers!C19,"Preconstruction",IF(A18&lt;=(Drivers!C19+Drivers!C20),"Construction","Trading")))</f>
        <v>Preconstruction</v>
      </c>
      <c r="D18" s="12">
        <f t="array" ref="D18">IF(AND(A18&gt;Drivers!C19,A18&lt;=(Drivers!C19+Drivers!C20)),SIN(PI()*(A18-Drivers!C19-0.5)/Drivers!C20)/SUMPRODUCT(SIN(PI()*(SEQUENCE(Drivers!C20,1)-0.5)/Drivers!C20)),0)</f>
        <v>0</v>
      </c>
      <c r="E18" s="14">
        <f>(Summary!C10+Summary!C12)*D18*(1+Drivers!C21)^(A18/12)</f>
        <v>0</v>
      </c>
      <c r="F18" s="14">
        <f>IF(AND(A18&gt;0,A18&lt;=Drivers!C19),Summary!C11*Drivers!C40/Drivers!C19*(1+Drivers!C21)^(A18/12),Summary!C11*(1-Drivers!C40 )*D18*(1+Drivers!C21)^(A18/12))</f>
        <v>94136.77344</v>
      </c>
      <c r="G18" s="14">
        <f>IF(AND(A18&gt;0,A18&lt;=2),Drivers!C16/2,0)</f>
        <v>0</v>
      </c>
      <c r="H18" s="14">
        <f>IF(A18=(Drivers!C19+Drivers!C20),Drivers!C17*(1+Drivers!C21)^(A18/12),0)</f>
        <v>0</v>
      </c>
      <c r="I18" s="14">
        <f>IF(AND(A18&gt;0,A18&lt;=(Drivers!C19+Drivers!C20)),Drivers!C18*(1+Drivers!C23)^(A18/12),0)</f>
        <v>52684.289</v>
      </c>
      <c r="J18" s="14">
        <f t="shared" si="1"/>
        <v>146821.0624</v>
      </c>
      <c r="K18" s="12">
        <f>IF(A18&gt;(Drivers!C19+Drivers!C20),MIN(1,0.5+0.5*(A18-(Drivers!C19+Drivers!C20))/Drivers!C39),0)</f>
        <v>0</v>
      </c>
      <c r="L18" s="14">
        <f>Drivers!C2*(B18-B17)*Drivers!C24*(1+Drivers!C22)^(A18/12)*Drivers!C25*K18</f>
        <v>0</v>
      </c>
      <c r="M18" s="14">
        <f>L18*Drivers!C26</f>
        <v>0</v>
      </c>
      <c r="N18" s="14">
        <f>(L18+M18)*Drivers!C27</f>
        <v>0</v>
      </c>
      <c r="O18" s="14">
        <f>IF(A18&gt;(Drivers!C19+Drivers!C20),Drivers!C28/12*(1+Drivers!C23)^(A18/12),0)</f>
        <v>0</v>
      </c>
      <c r="P18" s="14">
        <f>(L18+M18)*Drivers!C29</f>
        <v>0</v>
      </c>
      <c r="Q18" s="14">
        <f>Drivers!C3*Drivers!C30*(1+Drivers!C22)^(A18/12)*Drivers!C31*(1-Drivers!C32 )*K18</f>
        <v>0</v>
      </c>
      <c r="R18" s="14">
        <f>IF(A18&gt;(Drivers!C19+Drivers!C20),Drivers!C33/12*(1+Drivers!C23)^(A18/12),0)</f>
        <v>0</v>
      </c>
      <c r="S18" s="14">
        <f t="shared" si="2"/>
        <v>0</v>
      </c>
      <c r="T18" s="14">
        <f t="shared" si="6"/>
        <v>0</v>
      </c>
      <c r="U18" s="14">
        <f>IF(AND(A18&gt;Drivers!C19,A18&lt;=(Drivers!C19+Drivers!C20)),Summary!C31*D18,0)</f>
        <v>0</v>
      </c>
      <c r="V18" s="14">
        <f>IF(A18&lt;=(Drivers!C19+Drivers!C20),(T18+U18/2)*Drivers!C36/12,T18*Drivers!C36/12)</f>
        <v>0</v>
      </c>
      <c r="W18" s="14">
        <f>IF(A18&gt;(Drivers!C19+Drivers!C20),MIN(T18,MAX(0,Summary!C32/12-V18)),0)</f>
        <v>0</v>
      </c>
      <c r="X18" s="14">
        <f>IF(A18=(Drivers!C19+1),Summary!C31*Drivers!C38,0)</f>
        <v>0</v>
      </c>
      <c r="Y18" s="14">
        <f t="shared" si="3"/>
        <v>0</v>
      </c>
      <c r="Z18" s="14">
        <f t="shared" si="4"/>
        <v>-146821.0624</v>
      </c>
      <c r="AA18" s="14">
        <f t="shared" si="7"/>
        <v>-3775316.594</v>
      </c>
      <c r="AB18" s="14">
        <f t="shared" si="5"/>
        <v>-146821.0624</v>
      </c>
      <c r="AC18" s="14">
        <f>(E18+F18+G18+H18)*Drivers!C45</f>
        <v>14120.51602</v>
      </c>
      <c r="AD18" s="14">
        <f>IF(A18&lt;=Summary!C18,AB18+IF(A18=Summary!C18,Summary!C40,0),0)</f>
        <v>-146821.0624</v>
      </c>
      <c r="AE18" s="14">
        <f>IF(A18&lt;=Summary!C18,Z18+IF(A18=Summary!C18,Summary!C40-Y18,0),0)</f>
        <v>-146821.0624</v>
      </c>
      <c r="AF18" s="14">
        <f>AD18-IF(A18=0,Drivers!C44,0)</f>
        <v>-146821.0624</v>
      </c>
      <c r="AG18" s="14">
        <f t="shared" si="8"/>
        <v>-3775316.594</v>
      </c>
    </row>
    <row r="19">
      <c r="A19" s="2">
        <v>17.0</v>
      </c>
      <c r="B19" s="15">
        <f>EDATE(Setup!B2,A19)</f>
        <v>46797</v>
      </c>
      <c r="C19" s="2" t="str">
        <f>IF(A19=0,"T0",IF(A19&lt;=Drivers!C19,"Preconstruction",IF(A19&lt;=(Drivers!C19+Drivers!C20),"Construction","Trading")))</f>
        <v>Preconstruction</v>
      </c>
      <c r="D19" s="12">
        <f t="array" ref="D19">IF(AND(A19&gt;Drivers!C19,A19&lt;=(Drivers!C19+Drivers!C20)),SIN(PI()*(A19-Drivers!C19-0.5)/Drivers!C20)/SUMPRODUCT(SIN(PI()*(SEQUENCE(Drivers!C20,1)-0.5)/Drivers!C20)),0)</f>
        <v>0</v>
      </c>
      <c r="E19" s="14">
        <f>(Summary!C10+Summary!C12)*D19*(1+Drivers!C21)^(A19/12)</f>
        <v>0</v>
      </c>
      <c r="F19" s="14">
        <f>IF(AND(A19&gt;0,A19&lt;=Drivers!C19),Summary!C11*Drivers!C40/Drivers!C19*(1+Drivers!C21)^(A19/12),Summary!C11*(1-Drivers!C40 )*D19*(1+Drivers!C21)^(A19/12))</f>
        <v>94594.98895</v>
      </c>
      <c r="G19" s="14">
        <f>IF(AND(A19&gt;0,A19&lt;=2),Drivers!C16/2,0)</f>
        <v>0</v>
      </c>
      <c r="H19" s="14">
        <f>IF(A19=(Drivers!C19+Drivers!C20),Drivers!C17*(1+Drivers!C21)^(A19/12),0)</f>
        <v>0</v>
      </c>
      <c r="I19" s="14">
        <f>IF(AND(A19&gt;0,A19&lt;=(Drivers!C19+Drivers!C20)),Drivers!C18*(1+Drivers!C23)^(A19/12),0)</f>
        <v>52856.76365</v>
      </c>
      <c r="J19" s="14">
        <f t="shared" si="1"/>
        <v>147451.7526</v>
      </c>
      <c r="K19" s="12">
        <f>IF(A19&gt;(Drivers!C19+Drivers!C20),MIN(1,0.5+0.5*(A19-(Drivers!C19+Drivers!C20))/Drivers!C39),0)</f>
        <v>0</v>
      </c>
      <c r="L19" s="14">
        <f>Drivers!C2*(B19-B18)*Drivers!C24*(1+Drivers!C22)^(A19/12)*Drivers!C25*K19</f>
        <v>0</v>
      </c>
      <c r="M19" s="14">
        <f>L19*Drivers!C26</f>
        <v>0</v>
      </c>
      <c r="N19" s="14">
        <f>(L19+M19)*Drivers!C27</f>
        <v>0</v>
      </c>
      <c r="O19" s="14">
        <f>IF(A19&gt;(Drivers!C19+Drivers!C20),Drivers!C28/12*(1+Drivers!C23)^(A19/12),0)</f>
        <v>0</v>
      </c>
      <c r="P19" s="14">
        <f>(L19+M19)*Drivers!C29</f>
        <v>0</v>
      </c>
      <c r="Q19" s="14">
        <f>Drivers!C3*Drivers!C30*(1+Drivers!C22)^(A19/12)*Drivers!C31*(1-Drivers!C32 )*K19</f>
        <v>0</v>
      </c>
      <c r="R19" s="14">
        <f>IF(A19&gt;(Drivers!C19+Drivers!C20),Drivers!C33/12*(1+Drivers!C23)^(A19/12),0)</f>
        <v>0</v>
      </c>
      <c r="S19" s="14">
        <f t="shared" si="2"/>
        <v>0</v>
      </c>
      <c r="T19" s="14">
        <f t="shared" si="6"/>
        <v>0</v>
      </c>
      <c r="U19" s="14">
        <f>IF(AND(A19&gt;Drivers!C19,A19&lt;=(Drivers!C19+Drivers!C20)),Summary!C31*D19,0)</f>
        <v>0</v>
      </c>
      <c r="V19" s="14">
        <f>IF(A19&lt;=(Drivers!C19+Drivers!C20),(T19+U19/2)*Drivers!C36/12,T19*Drivers!C36/12)</f>
        <v>0</v>
      </c>
      <c r="W19" s="14">
        <f>IF(A19&gt;(Drivers!C19+Drivers!C20),MIN(T19,MAX(0,Summary!C32/12-V19)),0)</f>
        <v>0</v>
      </c>
      <c r="X19" s="14">
        <f>IF(A19=(Drivers!C19+1),Summary!C31*Drivers!C38,0)</f>
        <v>0</v>
      </c>
      <c r="Y19" s="14">
        <f t="shared" si="3"/>
        <v>0</v>
      </c>
      <c r="Z19" s="14">
        <f t="shared" si="4"/>
        <v>-147451.7526</v>
      </c>
      <c r="AA19" s="14">
        <f t="shared" si="7"/>
        <v>-3922768.346</v>
      </c>
      <c r="AB19" s="14">
        <f t="shared" si="5"/>
        <v>-147451.7526</v>
      </c>
      <c r="AC19" s="14">
        <f>(E19+F19+G19+H19)*Drivers!C45</f>
        <v>14189.24834</v>
      </c>
      <c r="AD19" s="14">
        <f>IF(A19&lt;=Summary!C18,AB19+IF(A19=Summary!C18,Summary!C40,0),0)</f>
        <v>-147451.7526</v>
      </c>
      <c r="AE19" s="14">
        <f>IF(A19&lt;=Summary!C18,Z19+IF(A19=Summary!C18,Summary!C40-Y19,0),0)</f>
        <v>-147451.7526</v>
      </c>
      <c r="AF19" s="14">
        <f>AD19-IF(A19=0,Drivers!C44,0)</f>
        <v>-147451.7526</v>
      </c>
      <c r="AG19" s="14">
        <f t="shared" si="8"/>
        <v>-3922768.346</v>
      </c>
    </row>
    <row r="20">
      <c r="A20" s="2">
        <v>18.0</v>
      </c>
      <c r="B20" s="15">
        <f>EDATE(Setup!B2,A20)</f>
        <v>46826</v>
      </c>
      <c r="C20" s="2" t="str">
        <f>IF(A20=0,"T0",IF(A20&lt;=Drivers!C19,"Preconstruction",IF(A20&lt;=(Drivers!C19+Drivers!C20),"Construction","Trading")))</f>
        <v>Preconstruction</v>
      </c>
      <c r="D20" s="12">
        <f t="array" ref="D20">IF(AND(A20&gt;Drivers!C19,A20&lt;=(Drivers!C19+Drivers!C20)),SIN(PI()*(A20-Drivers!C19-0.5)/Drivers!C20)/SUMPRODUCT(SIN(PI()*(SEQUENCE(Drivers!C20,1)-0.5)/Drivers!C20)),0)</f>
        <v>0</v>
      </c>
      <c r="E20" s="14">
        <f>(Summary!C10+Summary!C12)*D20*(1+Drivers!C21)^(A20/12)</f>
        <v>0</v>
      </c>
      <c r="F20" s="14">
        <f>IF(AND(A20&gt;0,A20&lt;=Drivers!C19),Summary!C11*Drivers!C40/Drivers!C19*(1+Drivers!C21)^(A20/12),Summary!C11*(1-Drivers!C40 )*D20*(1+Drivers!C21)^(A20/12))</f>
        <v>95055.43484</v>
      </c>
      <c r="G20" s="14">
        <f>IF(AND(A20&gt;0,A20&lt;=2),Drivers!C16/2,0)</f>
        <v>0</v>
      </c>
      <c r="H20" s="14">
        <f>IF(A20=(Drivers!C19+Drivers!C20),Drivers!C17*(1+Drivers!C21)^(A20/12),0)</f>
        <v>0</v>
      </c>
      <c r="I20" s="14">
        <f>IF(AND(A20&gt;0,A20&lt;=(Drivers!C19+Drivers!C20)),Drivers!C18*(1+Drivers!C23)^(A20/12),0)</f>
        <v>53029.80294</v>
      </c>
      <c r="J20" s="14">
        <f t="shared" si="1"/>
        <v>148085.2378</v>
      </c>
      <c r="K20" s="12">
        <f>IF(A20&gt;(Drivers!C19+Drivers!C20),MIN(1,0.5+0.5*(A20-(Drivers!C19+Drivers!C20))/Drivers!C39),0)</f>
        <v>0</v>
      </c>
      <c r="L20" s="14">
        <f>Drivers!C2*(B20-B19)*Drivers!C24*(1+Drivers!C22)^(A20/12)*Drivers!C25*K20</f>
        <v>0</v>
      </c>
      <c r="M20" s="14">
        <f>L20*Drivers!C26</f>
        <v>0</v>
      </c>
      <c r="N20" s="14">
        <f>(L20+M20)*Drivers!C27</f>
        <v>0</v>
      </c>
      <c r="O20" s="14">
        <f>IF(A20&gt;(Drivers!C19+Drivers!C20),Drivers!C28/12*(1+Drivers!C23)^(A20/12),0)</f>
        <v>0</v>
      </c>
      <c r="P20" s="14">
        <f>(L20+M20)*Drivers!C29</f>
        <v>0</v>
      </c>
      <c r="Q20" s="14">
        <f>Drivers!C3*Drivers!C30*(1+Drivers!C22)^(A20/12)*Drivers!C31*(1-Drivers!C32 )*K20</f>
        <v>0</v>
      </c>
      <c r="R20" s="14">
        <f>IF(A20&gt;(Drivers!C19+Drivers!C20),Drivers!C33/12*(1+Drivers!C23)^(A20/12),0)</f>
        <v>0</v>
      </c>
      <c r="S20" s="14">
        <f t="shared" si="2"/>
        <v>0</v>
      </c>
      <c r="T20" s="14">
        <f t="shared" si="6"/>
        <v>0</v>
      </c>
      <c r="U20" s="14">
        <f>IF(AND(A20&gt;Drivers!C19,A20&lt;=(Drivers!C19+Drivers!C20)),Summary!C31*D20,0)</f>
        <v>0</v>
      </c>
      <c r="V20" s="14">
        <f>IF(A20&lt;=(Drivers!C19+Drivers!C20),(T20+U20/2)*Drivers!C36/12,T20*Drivers!C36/12)</f>
        <v>0</v>
      </c>
      <c r="W20" s="14">
        <f>IF(A20&gt;(Drivers!C19+Drivers!C20),MIN(T20,MAX(0,Summary!C32/12-V20)),0)</f>
        <v>0</v>
      </c>
      <c r="X20" s="14">
        <f>IF(A20=(Drivers!C19+1),Summary!C31*Drivers!C38,0)</f>
        <v>0</v>
      </c>
      <c r="Y20" s="14">
        <f t="shared" si="3"/>
        <v>0</v>
      </c>
      <c r="Z20" s="14">
        <f t="shared" si="4"/>
        <v>-148085.2378</v>
      </c>
      <c r="AA20" s="14">
        <f t="shared" si="7"/>
        <v>-4070853.584</v>
      </c>
      <c r="AB20" s="14">
        <f t="shared" si="5"/>
        <v>-148085.2378</v>
      </c>
      <c r="AC20" s="14">
        <f>(E20+F20+G20+H20)*Drivers!C45</f>
        <v>14258.31523</v>
      </c>
      <c r="AD20" s="14">
        <f>IF(A20&lt;=Summary!C18,AB20+IF(A20=Summary!C18,Summary!C40,0),0)</f>
        <v>-148085.2378</v>
      </c>
      <c r="AE20" s="14">
        <f>IF(A20&lt;=Summary!C18,Z20+IF(A20=Summary!C18,Summary!C40-Y20,0),0)</f>
        <v>-148085.2378</v>
      </c>
      <c r="AF20" s="14">
        <f>AD20-IF(A20=0,Drivers!C44,0)</f>
        <v>-148085.2378</v>
      </c>
      <c r="AG20" s="14">
        <f t="shared" si="8"/>
        <v>-4070853.584</v>
      </c>
    </row>
    <row r="21">
      <c r="A21" s="2">
        <v>19.0</v>
      </c>
      <c r="B21" s="15">
        <f>EDATE(Setup!B2,A21)</f>
        <v>46857</v>
      </c>
      <c r="C21" s="2" t="str">
        <f>IF(A21=0,"T0",IF(A21&lt;=Drivers!C19,"Preconstruction",IF(A21&lt;=(Drivers!C19+Drivers!C20),"Construction","Trading")))</f>
        <v>Preconstruction</v>
      </c>
      <c r="D21" s="12">
        <f t="array" ref="D21">IF(AND(A21&gt;Drivers!C19,A21&lt;=(Drivers!C19+Drivers!C20)),SIN(PI()*(A21-Drivers!C19-0.5)/Drivers!C20)/SUMPRODUCT(SIN(PI()*(SEQUENCE(Drivers!C20,1)-0.5)/Drivers!C20)),0)</f>
        <v>0</v>
      </c>
      <c r="E21" s="14">
        <f>(Summary!C10+Summary!C12)*D21*(1+Drivers!C21)^(A21/12)</f>
        <v>0</v>
      </c>
      <c r="F21" s="14">
        <f>IF(AND(A21&gt;0,A21&lt;=Drivers!C19),Summary!C11*Drivers!C40/Drivers!C19*(1+Drivers!C21)^(A21/12),Summary!C11*(1-Drivers!C40 )*D21*(1+Drivers!C21)^(A21/12))</f>
        <v>95518.12198</v>
      </c>
      <c r="G21" s="14">
        <f>IF(AND(A21&gt;0,A21&lt;=2),Drivers!C16/2,0)</f>
        <v>0</v>
      </c>
      <c r="H21" s="14">
        <f>IF(A21=(Drivers!C19+Drivers!C20),Drivers!C17*(1+Drivers!C21)^(A21/12),0)</f>
        <v>0</v>
      </c>
      <c r="I21" s="14">
        <f>IF(AND(A21&gt;0,A21&lt;=(Drivers!C19+Drivers!C20)),Drivers!C18*(1+Drivers!C23)^(A21/12),0)</f>
        <v>53203.40872</v>
      </c>
      <c r="J21" s="14">
        <f t="shared" si="1"/>
        <v>148721.5307</v>
      </c>
      <c r="K21" s="12">
        <f>IF(A21&gt;(Drivers!C19+Drivers!C20),MIN(1,0.5+0.5*(A21-(Drivers!C19+Drivers!C20))/Drivers!C39),0)</f>
        <v>0</v>
      </c>
      <c r="L21" s="14">
        <f>Drivers!C2*(B21-B20)*Drivers!C24*(1+Drivers!C22)^(A21/12)*Drivers!C25*K21</f>
        <v>0</v>
      </c>
      <c r="M21" s="14">
        <f>L21*Drivers!C26</f>
        <v>0</v>
      </c>
      <c r="N21" s="14">
        <f>(L21+M21)*Drivers!C27</f>
        <v>0</v>
      </c>
      <c r="O21" s="14">
        <f>IF(A21&gt;(Drivers!C19+Drivers!C20),Drivers!C28/12*(1+Drivers!C23)^(A21/12),0)</f>
        <v>0</v>
      </c>
      <c r="P21" s="14">
        <f>(L21+M21)*Drivers!C29</f>
        <v>0</v>
      </c>
      <c r="Q21" s="14">
        <f>Drivers!C3*Drivers!C30*(1+Drivers!C22)^(A21/12)*Drivers!C31*(1-Drivers!C32 )*K21</f>
        <v>0</v>
      </c>
      <c r="R21" s="14">
        <f>IF(A21&gt;(Drivers!C19+Drivers!C20),Drivers!C33/12*(1+Drivers!C23)^(A21/12),0)</f>
        <v>0</v>
      </c>
      <c r="S21" s="14">
        <f t="shared" si="2"/>
        <v>0</v>
      </c>
      <c r="T21" s="14">
        <f t="shared" si="6"/>
        <v>0</v>
      </c>
      <c r="U21" s="14">
        <f>IF(AND(A21&gt;Drivers!C19,A21&lt;=(Drivers!C19+Drivers!C20)),Summary!C31*D21,0)</f>
        <v>0</v>
      </c>
      <c r="V21" s="14">
        <f>IF(A21&lt;=(Drivers!C19+Drivers!C20),(T21+U21/2)*Drivers!C36/12,T21*Drivers!C36/12)</f>
        <v>0</v>
      </c>
      <c r="W21" s="14">
        <f>IF(A21&gt;(Drivers!C19+Drivers!C20),MIN(T21,MAX(0,Summary!C32/12-V21)),0)</f>
        <v>0</v>
      </c>
      <c r="X21" s="14">
        <f>IF(A21=(Drivers!C19+1),Summary!C31*Drivers!C38,0)</f>
        <v>0</v>
      </c>
      <c r="Y21" s="14">
        <f t="shared" si="3"/>
        <v>0</v>
      </c>
      <c r="Z21" s="14">
        <f t="shared" si="4"/>
        <v>-148721.5307</v>
      </c>
      <c r="AA21" s="14">
        <f t="shared" si="7"/>
        <v>-4219575.115</v>
      </c>
      <c r="AB21" s="14">
        <f t="shared" si="5"/>
        <v>-148721.5307</v>
      </c>
      <c r="AC21" s="14">
        <f>(E21+F21+G21+H21)*Drivers!C45</f>
        <v>14327.7183</v>
      </c>
      <c r="AD21" s="14">
        <f>IF(A21&lt;=Summary!C18,AB21+IF(A21=Summary!C18,Summary!C40,0),0)</f>
        <v>-148721.5307</v>
      </c>
      <c r="AE21" s="14">
        <f>IF(A21&lt;=Summary!C18,Z21+IF(A21=Summary!C18,Summary!C40-Y21,0),0)</f>
        <v>-148721.5307</v>
      </c>
      <c r="AF21" s="14">
        <f>AD21-IF(A21=0,Drivers!C44,0)</f>
        <v>-148721.5307</v>
      </c>
      <c r="AG21" s="14">
        <f t="shared" si="8"/>
        <v>-4219575.115</v>
      </c>
    </row>
    <row r="22">
      <c r="A22" s="2">
        <v>20.0</v>
      </c>
      <c r="B22" s="15">
        <f>EDATE(Setup!B2,A22)</f>
        <v>46887</v>
      </c>
      <c r="C22" s="2" t="str">
        <f>IF(A22=0,"T0",IF(A22&lt;=Drivers!C19,"Preconstruction",IF(A22&lt;=(Drivers!C19+Drivers!C20),"Construction","Trading")))</f>
        <v>Preconstruction</v>
      </c>
      <c r="D22" s="12">
        <f t="array" ref="D22">IF(AND(A22&gt;Drivers!C19,A22&lt;=(Drivers!C19+Drivers!C20)),SIN(PI()*(A22-Drivers!C19-0.5)/Drivers!C20)/SUMPRODUCT(SIN(PI()*(SEQUENCE(Drivers!C20,1)-0.5)/Drivers!C20)),0)</f>
        <v>0</v>
      </c>
      <c r="E22" s="14">
        <f>(Summary!C10+Summary!C12)*D22*(1+Drivers!C21)^(A22/12)</f>
        <v>0</v>
      </c>
      <c r="F22" s="14">
        <f>IF(AND(A22&gt;0,A22&lt;=Drivers!C19),Summary!C11*Drivers!C40/Drivers!C19*(1+Drivers!C21)^(A22/12),Summary!C11*(1-Drivers!C40 )*D22*(1+Drivers!C21)^(A22/12))</f>
        <v>95983.06126</v>
      </c>
      <c r="G22" s="14">
        <f>IF(AND(A22&gt;0,A22&lt;=2),Drivers!C16/2,0)</f>
        <v>0</v>
      </c>
      <c r="H22" s="14">
        <f>IF(A22=(Drivers!C19+Drivers!C20),Drivers!C17*(1+Drivers!C21)^(A22/12),0)</f>
        <v>0</v>
      </c>
      <c r="I22" s="14">
        <f>IF(AND(A22&gt;0,A22&lt;=(Drivers!C19+Drivers!C20)),Drivers!C18*(1+Drivers!C23)^(A22/12),0)</f>
        <v>53377.58283</v>
      </c>
      <c r="J22" s="14">
        <f t="shared" si="1"/>
        <v>149360.6441</v>
      </c>
      <c r="K22" s="12">
        <f>IF(A22&gt;(Drivers!C19+Drivers!C20),MIN(1,0.5+0.5*(A22-(Drivers!C19+Drivers!C20))/Drivers!C39),0)</f>
        <v>0</v>
      </c>
      <c r="L22" s="14">
        <f>Drivers!C2*(B22-B21)*Drivers!C24*(1+Drivers!C22)^(A22/12)*Drivers!C25*K22</f>
        <v>0</v>
      </c>
      <c r="M22" s="14">
        <f>L22*Drivers!C26</f>
        <v>0</v>
      </c>
      <c r="N22" s="14">
        <f>(L22+M22)*Drivers!C27</f>
        <v>0</v>
      </c>
      <c r="O22" s="14">
        <f>IF(A22&gt;(Drivers!C19+Drivers!C20),Drivers!C28/12*(1+Drivers!C23)^(A22/12),0)</f>
        <v>0</v>
      </c>
      <c r="P22" s="14">
        <f>(L22+M22)*Drivers!C29</f>
        <v>0</v>
      </c>
      <c r="Q22" s="14">
        <f>Drivers!C3*Drivers!C30*(1+Drivers!C22)^(A22/12)*Drivers!C31*(1-Drivers!C32 )*K22</f>
        <v>0</v>
      </c>
      <c r="R22" s="14">
        <f>IF(A22&gt;(Drivers!C19+Drivers!C20),Drivers!C33/12*(1+Drivers!C23)^(A22/12),0)</f>
        <v>0</v>
      </c>
      <c r="S22" s="14">
        <f t="shared" si="2"/>
        <v>0</v>
      </c>
      <c r="T22" s="14">
        <f t="shared" si="6"/>
        <v>0</v>
      </c>
      <c r="U22" s="14">
        <f>IF(AND(A22&gt;Drivers!C19,A22&lt;=(Drivers!C19+Drivers!C20)),Summary!C31*D22,0)</f>
        <v>0</v>
      </c>
      <c r="V22" s="14">
        <f>IF(A22&lt;=(Drivers!C19+Drivers!C20),(T22+U22/2)*Drivers!C36/12,T22*Drivers!C36/12)</f>
        <v>0</v>
      </c>
      <c r="W22" s="14">
        <f>IF(A22&gt;(Drivers!C19+Drivers!C20),MIN(T22,MAX(0,Summary!C32/12-V22)),0)</f>
        <v>0</v>
      </c>
      <c r="X22" s="14">
        <f>IF(A22=(Drivers!C19+1),Summary!C31*Drivers!C38,0)</f>
        <v>0</v>
      </c>
      <c r="Y22" s="14">
        <f t="shared" si="3"/>
        <v>0</v>
      </c>
      <c r="Z22" s="14">
        <f t="shared" si="4"/>
        <v>-149360.6441</v>
      </c>
      <c r="AA22" s="14">
        <f t="shared" si="7"/>
        <v>-4368935.759</v>
      </c>
      <c r="AB22" s="14">
        <f t="shared" si="5"/>
        <v>-149360.6441</v>
      </c>
      <c r="AC22" s="14">
        <f>(E22+F22+G22+H22)*Drivers!C45</f>
        <v>14397.45919</v>
      </c>
      <c r="AD22" s="14">
        <f>IF(A22&lt;=Summary!C18,AB22+IF(A22=Summary!C18,Summary!C40,0),0)</f>
        <v>-149360.6441</v>
      </c>
      <c r="AE22" s="14">
        <f>IF(A22&lt;=Summary!C18,Z22+IF(A22=Summary!C18,Summary!C40-Y22,0),0)</f>
        <v>-149360.6441</v>
      </c>
      <c r="AF22" s="14">
        <f>AD22-IF(A22=0,Drivers!C44,0)</f>
        <v>-149360.6441</v>
      </c>
      <c r="AG22" s="14">
        <f t="shared" si="8"/>
        <v>-4368935.759</v>
      </c>
    </row>
    <row r="23">
      <c r="A23" s="2">
        <v>21.0</v>
      </c>
      <c r="B23" s="15">
        <f>EDATE(Setup!B2,A23)</f>
        <v>46918</v>
      </c>
      <c r="C23" s="2" t="str">
        <f>IF(A23=0,"T0",IF(A23&lt;=Drivers!C19,"Preconstruction",IF(A23&lt;=(Drivers!C19+Drivers!C20),"Construction","Trading")))</f>
        <v>Preconstruction</v>
      </c>
      <c r="D23" s="12">
        <f t="array" ref="D23">IF(AND(A23&gt;Drivers!C19,A23&lt;=(Drivers!C19+Drivers!C20)),SIN(PI()*(A23-Drivers!C19-0.5)/Drivers!C20)/SUMPRODUCT(SIN(PI()*(SEQUENCE(Drivers!C20,1)-0.5)/Drivers!C20)),0)</f>
        <v>0</v>
      </c>
      <c r="E23" s="14">
        <f>(Summary!C10+Summary!C12)*D23*(1+Drivers!C21)^(A23/12)</f>
        <v>0</v>
      </c>
      <c r="F23" s="14">
        <f>IF(AND(A23&gt;0,A23&lt;=Drivers!C19),Summary!C11*Drivers!C40/Drivers!C19*(1+Drivers!C21)^(A23/12),Summary!C11*(1-Drivers!C40 )*D23*(1+Drivers!C21)^(A23/12))</f>
        <v>96450.26367</v>
      </c>
      <c r="G23" s="14">
        <f>IF(AND(A23&gt;0,A23&lt;=2),Drivers!C16/2,0)</f>
        <v>0</v>
      </c>
      <c r="H23" s="14">
        <f>IF(A23=(Drivers!C19+Drivers!C20),Drivers!C17*(1+Drivers!C21)^(A23/12),0)</f>
        <v>0</v>
      </c>
      <c r="I23" s="14">
        <f>IF(AND(A23&gt;0,A23&lt;=(Drivers!C19+Drivers!C20)),Drivers!C18*(1+Drivers!C23)^(A23/12),0)</f>
        <v>53552.32715</v>
      </c>
      <c r="J23" s="14">
        <f t="shared" si="1"/>
        <v>150002.5908</v>
      </c>
      <c r="K23" s="12">
        <f>IF(A23&gt;(Drivers!C19+Drivers!C20),MIN(1,0.5+0.5*(A23-(Drivers!C19+Drivers!C20))/Drivers!C39),0)</f>
        <v>0</v>
      </c>
      <c r="L23" s="14">
        <f>Drivers!C2*(B23-B22)*Drivers!C24*(1+Drivers!C22)^(A23/12)*Drivers!C25*K23</f>
        <v>0</v>
      </c>
      <c r="M23" s="14">
        <f>L23*Drivers!C26</f>
        <v>0</v>
      </c>
      <c r="N23" s="14">
        <f>(L23+M23)*Drivers!C27</f>
        <v>0</v>
      </c>
      <c r="O23" s="14">
        <f>IF(A23&gt;(Drivers!C19+Drivers!C20),Drivers!C28/12*(1+Drivers!C23)^(A23/12),0)</f>
        <v>0</v>
      </c>
      <c r="P23" s="14">
        <f>(L23+M23)*Drivers!C29</f>
        <v>0</v>
      </c>
      <c r="Q23" s="14">
        <f>Drivers!C3*Drivers!C30*(1+Drivers!C22)^(A23/12)*Drivers!C31*(1-Drivers!C32 )*K23</f>
        <v>0</v>
      </c>
      <c r="R23" s="14">
        <f>IF(A23&gt;(Drivers!C19+Drivers!C20),Drivers!C33/12*(1+Drivers!C23)^(A23/12),0)</f>
        <v>0</v>
      </c>
      <c r="S23" s="14">
        <f t="shared" si="2"/>
        <v>0</v>
      </c>
      <c r="T23" s="14">
        <f t="shared" si="6"/>
        <v>0</v>
      </c>
      <c r="U23" s="14">
        <f>IF(AND(A23&gt;Drivers!C19,A23&lt;=(Drivers!C19+Drivers!C20)),Summary!C31*D23,0)</f>
        <v>0</v>
      </c>
      <c r="V23" s="14">
        <f>IF(A23&lt;=(Drivers!C19+Drivers!C20),(T23+U23/2)*Drivers!C36/12,T23*Drivers!C36/12)</f>
        <v>0</v>
      </c>
      <c r="W23" s="14">
        <f>IF(A23&gt;(Drivers!C19+Drivers!C20),MIN(T23,MAX(0,Summary!C32/12-V23)),0)</f>
        <v>0</v>
      </c>
      <c r="X23" s="14">
        <f>IF(A23=(Drivers!C19+1),Summary!C31*Drivers!C38,0)</f>
        <v>0</v>
      </c>
      <c r="Y23" s="14">
        <f t="shared" si="3"/>
        <v>0</v>
      </c>
      <c r="Z23" s="14">
        <f t="shared" si="4"/>
        <v>-150002.5908</v>
      </c>
      <c r="AA23" s="14">
        <f t="shared" si="7"/>
        <v>-4518938.35</v>
      </c>
      <c r="AB23" s="14">
        <f t="shared" si="5"/>
        <v>-150002.5908</v>
      </c>
      <c r="AC23" s="14">
        <f>(E23+F23+G23+H23)*Drivers!C45</f>
        <v>14467.53955</v>
      </c>
      <c r="AD23" s="14">
        <f>IF(A23&lt;=Summary!C18,AB23+IF(A23=Summary!C18,Summary!C40,0),0)</f>
        <v>-150002.5908</v>
      </c>
      <c r="AE23" s="14">
        <f>IF(A23&lt;=Summary!C18,Z23+IF(A23=Summary!C18,Summary!C40-Y23,0),0)</f>
        <v>-150002.5908</v>
      </c>
      <c r="AF23" s="14">
        <f>AD23-IF(A23=0,Drivers!C44,0)</f>
        <v>-150002.5908</v>
      </c>
      <c r="AG23" s="14">
        <f t="shared" si="8"/>
        <v>-4518938.35</v>
      </c>
    </row>
    <row r="24">
      <c r="A24" s="2">
        <v>22.0</v>
      </c>
      <c r="B24" s="15">
        <f>EDATE(Setup!B2,A24)</f>
        <v>46948</v>
      </c>
      <c r="C24" s="2" t="str">
        <f>IF(A24=0,"T0",IF(A24&lt;=Drivers!C19,"Preconstruction",IF(A24&lt;=(Drivers!C19+Drivers!C20),"Construction","Trading")))</f>
        <v>Preconstruction</v>
      </c>
      <c r="D24" s="12">
        <f t="array" ref="D24">IF(AND(A24&gt;Drivers!C19,A24&lt;=(Drivers!C19+Drivers!C20)),SIN(PI()*(A24-Drivers!C19-0.5)/Drivers!C20)/SUMPRODUCT(SIN(PI()*(SEQUENCE(Drivers!C20,1)-0.5)/Drivers!C20)),0)</f>
        <v>0</v>
      </c>
      <c r="E24" s="14">
        <f>(Summary!C10+Summary!C12)*D24*(1+Drivers!C21)^(A24/12)</f>
        <v>0</v>
      </c>
      <c r="F24" s="14">
        <f>IF(AND(A24&gt;0,A24&lt;=Drivers!C19),Summary!C11*Drivers!C40/Drivers!C19*(1+Drivers!C21)^(A24/12),Summary!C11*(1-Drivers!C40 )*D24*(1+Drivers!C21)^(A24/12))</f>
        <v>96919.7402</v>
      </c>
      <c r="G24" s="14">
        <f>IF(AND(A24&gt;0,A24&lt;=2),Drivers!C16/2,0)</f>
        <v>0</v>
      </c>
      <c r="H24" s="14">
        <f>IF(A24=(Drivers!C19+Drivers!C20),Drivers!C17*(1+Drivers!C21)^(A24/12),0)</f>
        <v>0</v>
      </c>
      <c r="I24" s="14">
        <f>IF(AND(A24&gt;0,A24&lt;=(Drivers!C19+Drivers!C20)),Drivers!C18*(1+Drivers!C23)^(A24/12),0)</f>
        <v>53727.64353</v>
      </c>
      <c r="J24" s="14">
        <f t="shared" si="1"/>
        <v>150647.3837</v>
      </c>
      <c r="K24" s="12">
        <f>IF(A24&gt;(Drivers!C19+Drivers!C20),MIN(1,0.5+0.5*(A24-(Drivers!C19+Drivers!C20))/Drivers!C39),0)</f>
        <v>0</v>
      </c>
      <c r="L24" s="14">
        <f>Drivers!C2*(B24-B23)*Drivers!C24*(1+Drivers!C22)^(A24/12)*Drivers!C25*K24</f>
        <v>0</v>
      </c>
      <c r="M24" s="14">
        <f>L24*Drivers!C26</f>
        <v>0</v>
      </c>
      <c r="N24" s="14">
        <f>(L24+M24)*Drivers!C27</f>
        <v>0</v>
      </c>
      <c r="O24" s="14">
        <f>IF(A24&gt;(Drivers!C19+Drivers!C20),Drivers!C28/12*(1+Drivers!C23)^(A24/12),0)</f>
        <v>0</v>
      </c>
      <c r="P24" s="14">
        <f>(L24+M24)*Drivers!C29</f>
        <v>0</v>
      </c>
      <c r="Q24" s="14">
        <f>Drivers!C3*Drivers!C30*(1+Drivers!C22)^(A24/12)*Drivers!C31*(1-Drivers!C32 )*K24</f>
        <v>0</v>
      </c>
      <c r="R24" s="14">
        <f>IF(A24&gt;(Drivers!C19+Drivers!C20),Drivers!C33/12*(1+Drivers!C23)^(A24/12),0)</f>
        <v>0</v>
      </c>
      <c r="S24" s="14">
        <f t="shared" si="2"/>
        <v>0</v>
      </c>
      <c r="T24" s="14">
        <f t="shared" si="6"/>
        <v>0</v>
      </c>
      <c r="U24" s="14">
        <f>IF(AND(A24&gt;Drivers!C19,A24&lt;=(Drivers!C19+Drivers!C20)),Summary!C31*D24,0)</f>
        <v>0</v>
      </c>
      <c r="V24" s="14">
        <f>IF(A24&lt;=(Drivers!C19+Drivers!C20),(T24+U24/2)*Drivers!C36/12,T24*Drivers!C36/12)</f>
        <v>0</v>
      </c>
      <c r="W24" s="14">
        <f>IF(A24&gt;(Drivers!C19+Drivers!C20),MIN(T24,MAX(0,Summary!C32/12-V24)),0)</f>
        <v>0</v>
      </c>
      <c r="X24" s="14">
        <f>IF(A24=(Drivers!C19+1),Summary!C31*Drivers!C38,0)</f>
        <v>0</v>
      </c>
      <c r="Y24" s="14">
        <f t="shared" si="3"/>
        <v>0</v>
      </c>
      <c r="Z24" s="14">
        <f t="shared" si="4"/>
        <v>-150647.3837</v>
      </c>
      <c r="AA24" s="14">
        <f t="shared" si="7"/>
        <v>-4669585.733</v>
      </c>
      <c r="AB24" s="14">
        <f t="shared" si="5"/>
        <v>-150647.3837</v>
      </c>
      <c r="AC24" s="14">
        <f>(E24+F24+G24+H24)*Drivers!C45</f>
        <v>14537.96103</v>
      </c>
      <c r="AD24" s="14">
        <f>IF(A24&lt;=Summary!C18,AB24+IF(A24=Summary!C18,Summary!C40,0),0)</f>
        <v>-150647.3837</v>
      </c>
      <c r="AE24" s="14">
        <f>IF(A24&lt;=Summary!C18,Z24+IF(A24=Summary!C18,Summary!C40-Y24,0),0)</f>
        <v>-150647.3837</v>
      </c>
      <c r="AF24" s="14">
        <f>AD24-IF(A24=0,Drivers!C44,0)</f>
        <v>-150647.3837</v>
      </c>
      <c r="AG24" s="14">
        <f t="shared" si="8"/>
        <v>-4669585.733</v>
      </c>
    </row>
    <row r="25">
      <c r="A25" s="2">
        <v>23.0</v>
      </c>
      <c r="B25" s="15">
        <f>EDATE(Setup!B2,A25)</f>
        <v>46979</v>
      </c>
      <c r="C25" s="2" t="str">
        <f>IF(A25=0,"T0",IF(A25&lt;=Drivers!C19,"Preconstruction",IF(A25&lt;=(Drivers!C19+Drivers!C20),"Construction","Trading")))</f>
        <v>Preconstruction</v>
      </c>
      <c r="D25" s="12">
        <f t="array" ref="D25">IF(AND(A25&gt;Drivers!C19,A25&lt;=(Drivers!C19+Drivers!C20)),SIN(PI()*(A25-Drivers!C19-0.5)/Drivers!C20)/SUMPRODUCT(SIN(PI()*(SEQUENCE(Drivers!C20,1)-0.5)/Drivers!C20)),0)</f>
        <v>0</v>
      </c>
      <c r="E25" s="14">
        <f>(Summary!C10+Summary!C12)*D25*(1+Drivers!C21)^(A25/12)</f>
        <v>0</v>
      </c>
      <c r="F25" s="14">
        <f>IF(AND(A25&gt;0,A25&lt;=Drivers!C19),Summary!C11*Drivers!C40/Drivers!C19*(1+Drivers!C21)^(A25/12),Summary!C11*(1-Drivers!C40 )*D25*(1+Drivers!C21)^(A25/12))</f>
        <v>97391.50194</v>
      </c>
      <c r="G25" s="14">
        <f>IF(AND(A25&gt;0,A25&lt;=2),Drivers!C16/2,0)</f>
        <v>0</v>
      </c>
      <c r="H25" s="14">
        <f>IF(A25=(Drivers!C19+Drivers!C20),Drivers!C17*(1+Drivers!C21)^(A25/12),0)</f>
        <v>0</v>
      </c>
      <c r="I25" s="14">
        <f>IF(AND(A25&gt;0,A25&lt;=(Drivers!C19+Drivers!C20)),Drivers!C18*(1+Drivers!C23)^(A25/12),0)</f>
        <v>53903.53386</v>
      </c>
      <c r="J25" s="14">
        <f t="shared" si="1"/>
        <v>151295.0358</v>
      </c>
      <c r="K25" s="12">
        <f>IF(A25&gt;(Drivers!C19+Drivers!C20),MIN(1,0.5+0.5*(A25-(Drivers!C19+Drivers!C20))/Drivers!C39),0)</f>
        <v>0</v>
      </c>
      <c r="L25" s="14">
        <f>Drivers!C2*(B25-B24)*Drivers!C24*(1+Drivers!C22)^(A25/12)*Drivers!C25*K25</f>
        <v>0</v>
      </c>
      <c r="M25" s="14">
        <f>L25*Drivers!C26</f>
        <v>0</v>
      </c>
      <c r="N25" s="14">
        <f>(L25+M25)*Drivers!C27</f>
        <v>0</v>
      </c>
      <c r="O25" s="14">
        <f>IF(A25&gt;(Drivers!C19+Drivers!C20),Drivers!C28/12*(1+Drivers!C23)^(A25/12),0)</f>
        <v>0</v>
      </c>
      <c r="P25" s="14">
        <f>(L25+M25)*Drivers!C29</f>
        <v>0</v>
      </c>
      <c r="Q25" s="14">
        <f>Drivers!C3*Drivers!C30*(1+Drivers!C22)^(A25/12)*Drivers!C31*(1-Drivers!C32 )*K25</f>
        <v>0</v>
      </c>
      <c r="R25" s="14">
        <f>IF(A25&gt;(Drivers!C19+Drivers!C20),Drivers!C33/12*(1+Drivers!C23)^(A25/12),0)</f>
        <v>0</v>
      </c>
      <c r="S25" s="14">
        <f t="shared" si="2"/>
        <v>0</v>
      </c>
      <c r="T25" s="14">
        <f t="shared" si="6"/>
        <v>0</v>
      </c>
      <c r="U25" s="14">
        <f>IF(AND(A25&gt;Drivers!C19,A25&lt;=(Drivers!C19+Drivers!C20)),Summary!C31*D25,0)</f>
        <v>0</v>
      </c>
      <c r="V25" s="14">
        <f>IF(A25&lt;=(Drivers!C19+Drivers!C20),(T25+U25/2)*Drivers!C36/12,T25*Drivers!C36/12)</f>
        <v>0</v>
      </c>
      <c r="W25" s="14">
        <f>IF(A25&gt;(Drivers!C19+Drivers!C20),MIN(T25,MAX(0,Summary!C32/12-V25)),0)</f>
        <v>0</v>
      </c>
      <c r="X25" s="14">
        <f>IF(A25=(Drivers!C19+1),Summary!C31*Drivers!C38,0)</f>
        <v>0</v>
      </c>
      <c r="Y25" s="14">
        <f t="shared" si="3"/>
        <v>0</v>
      </c>
      <c r="Z25" s="14">
        <f t="shared" si="4"/>
        <v>-151295.0358</v>
      </c>
      <c r="AA25" s="14">
        <f t="shared" si="7"/>
        <v>-4820880.769</v>
      </c>
      <c r="AB25" s="14">
        <f t="shared" si="5"/>
        <v>-151295.0358</v>
      </c>
      <c r="AC25" s="14">
        <f>(E25+F25+G25+H25)*Drivers!C45</f>
        <v>14608.72529</v>
      </c>
      <c r="AD25" s="14">
        <f>IF(A25&lt;=Summary!C18,AB25+IF(A25=Summary!C18,Summary!C40,0),0)</f>
        <v>-151295.0358</v>
      </c>
      <c r="AE25" s="14">
        <f>IF(A25&lt;=Summary!C18,Z25+IF(A25=Summary!C18,Summary!C40-Y25,0),0)</f>
        <v>-151295.0358</v>
      </c>
      <c r="AF25" s="14">
        <f>AD25-IF(A25=0,Drivers!C44,0)</f>
        <v>-151295.0358</v>
      </c>
      <c r="AG25" s="14">
        <f t="shared" si="8"/>
        <v>-4820880.769</v>
      </c>
    </row>
    <row r="26">
      <c r="A26" s="2">
        <v>24.0</v>
      </c>
      <c r="B26" s="15">
        <f>EDATE(Setup!B2,A26)</f>
        <v>47010</v>
      </c>
      <c r="C26" s="2" t="str">
        <f>IF(A26=0,"T0",IF(A26&lt;=Drivers!C19,"Preconstruction",IF(A26&lt;=(Drivers!C19+Drivers!C20),"Construction","Trading")))</f>
        <v>Preconstruction</v>
      </c>
      <c r="D26" s="12">
        <f t="array" ref="D26">IF(AND(A26&gt;Drivers!C19,A26&lt;=(Drivers!C19+Drivers!C20)),SIN(PI()*(A26-Drivers!C19-0.5)/Drivers!C20)/SUMPRODUCT(SIN(PI()*(SEQUENCE(Drivers!C20,1)-0.5)/Drivers!C20)),0)</f>
        <v>0</v>
      </c>
      <c r="E26" s="14">
        <f>(Summary!C10+Summary!C12)*D26*(1+Drivers!C21)^(A26/12)</f>
        <v>0</v>
      </c>
      <c r="F26" s="14">
        <f>IF(AND(A26&gt;0,A26&lt;=Drivers!C19),Summary!C11*Drivers!C40/Drivers!C19*(1+Drivers!C21)^(A26/12),Summary!C11*(1-Drivers!C40 )*D26*(1+Drivers!C21)^(A26/12))</f>
        <v>97865.56</v>
      </c>
      <c r="G26" s="14">
        <f>IF(AND(A26&gt;0,A26&lt;=2),Drivers!C16/2,0)</f>
        <v>0</v>
      </c>
      <c r="H26" s="14">
        <f>IF(A26=(Drivers!C19+Drivers!C20),Drivers!C17*(1+Drivers!C21)^(A26/12),0)</f>
        <v>0</v>
      </c>
      <c r="I26" s="14">
        <f>IF(AND(A26&gt;0,A26&lt;=(Drivers!C19+Drivers!C20)),Drivers!C18*(1+Drivers!C23)^(A26/12),0)</f>
        <v>54080</v>
      </c>
      <c r="J26" s="14">
        <f t="shared" si="1"/>
        <v>151945.56</v>
      </c>
      <c r="K26" s="12">
        <f>IF(A26&gt;(Drivers!C19+Drivers!C20),MIN(1,0.5+0.5*(A26-(Drivers!C19+Drivers!C20))/Drivers!C39),0)</f>
        <v>0</v>
      </c>
      <c r="L26" s="14">
        <f>Drivers!C2*(B26-B25)*Drivers!C24*(1+Drivers!C22)^(A26/12)*Drivers!C25*K26</f>
        <v>0</v>
      </c>
      <c r="M26" s="14">
        <f>L26*Drivers!C26</f>
        <v>0</v>
      </c>
      <c r="N26" s="14">
        <f>(L26+M26)*Drivers!C27</f>
        <v>0</v>
      </c>
      <c r="O26" s="14">
        <f>IF(A26&gt;(Drivers!C19+Drivers!C20),Drivers!C28/12*(1+Drivers!C23)^(A26/12),0)</f>
        <v>0</v>
      </c>
      <c r="P26" s="14">
        <f>(L26+M26)*Drivers!C29</f>
        <v>0</v>
      </c>
      <c r="Q26" s="14">
        <f>Drivers!C3*Drivers!C30*(1+Drivers!C22)^(A26/12)*Drivers!C31*(1-Drivers!C32 )*K26</f>
        <v>0</v>
      </c>
      <c r="R26" s="14">
        <f>IF(A26&gt;(Drivers!C19+Drivers!C20),Drivers!C33/12*(1+Drivers!C23)^(A26/12),0)</f>
        <v>0</v>
      </c>
      <c r="S26" s="14">
        <f t="shared" si="2"/>
        <v>0</v>
      </c>
      <c r="T26" s="14">
        <f t="shared" si="6"/>
        <v>0</v>
      </c>
      <c r="U26" s="14">
        <f>IF(AND(A26&gt;Drivers!C19,A26&lt;=(Drivers!C19+Drivers!C20)),Summary!C31*D26,0)</f>
        <v>0</v>
      </c>
      <c r="V26" s="14">
        <f>IF(A26&lt;=(Drivers!C19+Drivers!C20),(T26+U26/2)*Drivers!C36/12,T26*Drivers!C36/12)</f>
        <v>0</v>
      </c>
      <c r="W26" s="14">
        <f>IF(A26&gt;(Drivers!C19+Drivers!C20),MIN(T26,MAX(0,Summary!C32/12-V26)),0)</f>
        <v>0</v>
      </c>
      <c r="X26" s="14">
        <f>IF(A26=(Drivers!C19+1),Summary!C31*Drivers!C38,0)</f>
        <v>0</v>
      </c>
      <c r="Y26" s="14">
        <f t="shared" si="3"/>
        <v>0</v>
      </c>
      <c r="Z26" s="14">
        <f t="shared" si="4"/>
        <v>-151945.56</v>
      </c>
      <c r="AA26" s="14">
        <f t="shared" si="7"/>
        <v>-4972826.329</v>
      </c>
      <c r="AB26" s="14">
        <f t="shared" si="5"/>
        <v>-151945.56</v>
      </c>
      <c r="AC26" s="14">
        <f>(E26+F26+G26+H26)*Drivers!C45</f>
        <v>14679.834</v>
      </c>
      <c r="AD26" s="14">
        <f>IF(A26&lt;=Summary!C18,AB26+IF(A26=Summary!C18,Summary!C40,0),0)</f>
        <v>-151945.56</v>
      </c>
      <c r="AE26" s="14">
        <f>IF(A26&lt;=Summary!C18,Z26+IF(A26=Summary!C18,Summary!C40-Y26,0),0)</f>
        <v>-151945.56</v>
      </c>
      <c r="AF26" s="14">
        <f>AD26-IF(A26=0,Drivers!C44,0)</f>
        <v>-151945.56</v>
      </c>
      <c r="AG26" s="14">
        <f t="shared" si="8"/>
        <v>-4972826.329</v>
      </c>
    </row>
    <row r="27">
      <c r="A27" s="2">
        <v>25.0</v>
      </c>
      <c r="B27" s="15">
        <f>EDATE(Setup!B2,A27)</f>
        <v>47040</v>
      </c>
      <c r="C27" s="2" t="str">
        <f>IF(A27=0,"T0",IF(A27&lt;=Drivers!C19,"Preconstruction",IF(A27&lt;=(Drivers!C19+Drivers!C20),"Construction","Trading")))</f>
        <v>Construction</v>
      </c>
      <c r="D27" s="12">
        <f t="array" ref="D27">IF(AND(A27&gt;Drivers!C19,A27&lt;=(Drivers!C19+Drivers!C20)),SIN(PI()*(A27-Drivers!C19-0.5)/Drivers!C20)/SUMPRODUCT(SIN(PI()*(SEQUENCE(Drivers!C20,1)-0.5)/Drivers!C20)),0)</f>
        <v>0.007596123494</v>
      </c>
      <c r="E27" s="14">
        <f>(Summary!C10+Summary!C12)*D27*(1+Drivers!C21)^(A27/12)</f>
        <v>696220.2272</v>
      </c>
      <c r="F27" s="14">
        <f>IF(AND(A27&gt;0,A27&lt;=Drivers!C19),Summary!C11*Drivers!C40/Drivers!C19*(1+Drivers!C21)^(A27/12),Summary!C11*(1-Drivers!C40 )*D27*(1+Drivers!C21)^(A27/12))</f>
        <v>41832.97503</v>
      </c>
      <c r="G27" s="14">
        <f>IF(AND(A27&gt;0,A27&lt;=2),Drivers!C16/2,0)</f>
        <v>0</v>
      </c>
      <c r="H27" s="14">
        <f>IF(A27=(Drivers!C19+Drivers!C20),Drivers!C17*(1+Drivers!C21)^(A27/12),0)</f>
        <v>0</v>
      </c>
      <c r="I27" s="14">
        <f>IF(AND(A27&gt;0,A27&lt;=(Drivers!C19+Drivers!C20)),Drivers!C18*(1+Drivers!C23)^(A27/12),0)</f>
        <v>54257.04385</v>
      </c>
      <c r="J27" s="14">
        <f t="shared" si="1"/>
        <v>792310.2461</v>
      </c>
      <c r="K27" s="12">
        <f>IF(A27&gt;(Drivers!C19+Drivers!C20),MIN(1,0.5+0.5*(A27-(Drivers!C19+Drivers!C20))/Drivers!C39),0)</f>
        <v>0</v>
      </c>
      <c r="L27" s="14">
        <f>Drivers!C2*(B27-B26)*Drivers!C24*(1+Drivers!C22)^(A27/12)*Drivers!C25*K27</f>
        <v>0</v>
      </c>
      <c r="M27" s="14">
        <f>L27*Drivers!C26</f>
        <v>0</v>
      </c>
      <c r="N27" s="14">
        <f>(L27+M27)*Drivers!C27</f>
        <v>0</v>
      </c>
      <c r="O27" s="14">
        <f>IF(A27&gt;(Drivers!C19+Drivers!C20),Drivers!C28/12*(1+Drivers!C23)^(A27/12),0)</f>
        <v>0</v>
      </c>
      <c r="P27" s="14">
        <f>(L27+M27)*Drivers!C29</f>
        <v>0</v>
      </c>
      <c r="Q27" s="14">
        <f>Drivers!C3*Drivers!C30*(1+Drivers!C22)^(A27/12)*Drivers!C31*(1-Drivers!C32 )*K27</f>
        <v>0</v>
      </c>
      <c r="R27" s="14">
        <f>IF(A27&gt;(Drivers!C19+Drivers!C20),Drivers!C33/12*(1+Drivers!C23)^(A27/12),0)</f>
        <v>0</v>
      </c>
      <c r="S27" s="14">
        <f t="shared" si="2"/>
        <v>0</v>
      </c>
      <c r="T27" s="14">
        <f t="shared" si="6"/>
        <v>0</v>
      </c>
      <c r="U27" s="14">
        <f>IF(AND(A27&gt;Drivers!C19,A27&lt;=(Drivers!C19+Drivers!C20)),Summary!C31*D27,0)</f>
        <v>9314.915225</v>
      </c>
      <c r="V27" s="14">
        <f>IF(A27&lt;=(Drivers!C19+Drivers!C20),(T27+U27/2)*Drivers!C36/12,T27*Drivers!C36/12)</f>
        <v>44.63396879</v>
      </c>
      <c r="W27" s="14">
        <f>IF(A27&gt;(Drivers!C19+Drivers!C20),MIN(T27,MAX(0,Summary!C32/12-V27)),0)</f>
        <v>0</v>
      </c>
      <c r="X27" s="14">
        <f>IF(A27=(Drivers!C19+1),Summary!C31*Drivers!C38,0)</f>
        <v>18394.08331</v>
      </c>
      <c r="Y27" s="14">
        <f t="shared" si="3"/>
        <v>9314.915225</v>
      </c>
      <c r="Z27" s="14">
        <f t="shared" si="4"/>
        <v>-801434.0482</v>
      </c>
      <c r="AA27" s="14">
        <f t="shared" si="7"/>
        <v>-5774260.377</v>
      </c>
      <c r="AB27" s="14">
        <f t="shared" si="5"/>
        <v>-792310.2461</v>
      </c>
      <c r="AC27" s="14">
        <f>(E27+F27+G27+H27)*Drivers!C45</f>
        <v>110707.9803</v>
      </c>
      <c r="AD27" s="14">
        <f>IF(A27&lt;=Summary!C18,AB27+IF(A27=Summary!C18,Summary!C40,0),0)</f>
        <v>-792310.2461</v>
      </c>
      <c r="AE27" s="14">
        <f>IF(A27&lt;=Summary!C18,Z27+IF(A27=Summary!C18,Summary!C40-Y27,0),0)</f>
        <v>-801434.0482</v>
      </c>
      <c r="AF27" s="14">
        <f>AD27-IF(A27=0,Drivers!C44,0)</f>
        <v>-792310.2461</v>
      </c>
      <c r="AG27" s="14">
        <f t="shared" si="8"/>
        <v>-5765136.575</v>
      </c>
    </row>
    <row r="28">
      <c r="A28" s="2">
        <v>26.0</v>
      </c>
      <c r="B28" s="15">
        <f>EDATE(Setup!B2,A28)</f>
        <v>47071</v>
      </c>
      <c r="C28" s="2" t="str">
        <f>IF(A28=0,"T0",IF(A28&lt;=Drivers!C19,"Preconstruction",IF(A28&lt;=(Drivers!C19+Drivers!C20),"Construction","Trading")))</f>
        <v>Construction</v>
      </c>
      <c r="D28" s="12">
        <f t="array" ref="D28">IF(AND(A28&gt;Drivers!C19,A28&lt;=(Drivers!C19+Drivers!C20)),SIN(PI()*(A28-Drivers!C19-0.5)/Drivers!C20)/SUMPRODUCT(SIN(PI()*(SEQUENCE(Drivers!C20,1)-0.5)/Drivers!C20)),0)</f>
        <v>0.02255756611</v>
      </c>
      <c r="E28" s="14">
        <f>(Summary!C10+Summary!C12)*D28*(1+Drivers!C21)^(A28/12)</f>
        <v>2077570.074</v>
      </c>
      <c r="F28" s="14">
        <f>IF(AND(A28&gt;0,A28&lt;=Drivers!C19),Summary!C11*Drivers!C40/Drivers!C19*(1+Drivers!C21)^(A28/12),Summary!C11*(1-Drivers!C40 )*D28*(1+Drivers!C21)^(A28/12))</f>
        <v>124832.5367</v>
      </c>
      <c r="G28" s="14">
        <f>IF(AND(A28&gt;0,A28&lt;=2),Drivers!C16/2,0)</f>
        <v>0</v>
      </c>
      <c r="H28" s="14">
        <f>IF(A28=(Drivers!C19+Drivers!C20),Drivers!C17*(1+Drivers!C21)^(A28/12),0)</f>
        <v>0</v>
      </c>
      <c r="I28" s="14">
        <f>IF(AND(A28&gt;0,A28&lt;=(Drivers!C19+Drivers!C20)),Drivers!C18*(1+Drivers!C23)^(A28/12),0)</f>
        <v>54434.66729</v>
      </c>
      <c r="J28" s="14">
        <f t="shared" si="1"/>
        <v>2256837.278</v>
      </c>
      <c r="K28" s="12">
        <f>IF(A28&gt;(Drivers!C19+Drivers!C20),MIN(1,0.5+0.5*(A28-(Drivers!C19+Drivers!C20))/Drivers!C39),0)</f>
        <v>0</v>
      </c>
      <c r="L28" s="14">
        <f>Drivers!C2*(B28-B27)*Drivers!C24*(1+Drivers!C22)^(A28/12)*Drivers!C25*K28</f>
        <v>0</v>
      </c>
      <c r="M28" s="14">
        <f>L28*Drivers!C26</f>
        <v>0</v>
      </c>
      <c r="N28" s="14">
        <f>(L28+M28)*Drivers!C27</f>
        <v>0</v>
      </c>
      <c r="O28" s="14">
        <f>IF(A28&gt;(Drivers!C19+Drivers!C20),Drivers!C28/12*(1+Drivers!C23)^(A28/12),0)</f>
        <v>0</v>
      </c>
      <c r="P28" s="14">
        <f>(L28+M28)*Drivers!C29</f>
        <v>0</v>
      </c>
      <c r="Q28" s="14">
        <f>Drivers!C3*Drivers!C30*(1+Drivers!C22)^(A28/12)*Drivers!C31*(1-Drivers!C32 )*K28</f>
        <v>0</v>
      </c>
      <c r="R28" s="14">
        <f>IF(A28&gt;(Drivers!C19+Drivers!C20),Drivers!C33/12*(1+Drivers!C23)^(A28/12),0)</f>
        <v>0</v>
      </c>
      <c r="S28" s="14">
        <f t="shared" si="2"/>
        <v>0</v>
      </c>
      <c r="T28" s="14">
        <f t="shared" si="6"/>
        <v>9314.915225</v>
      </c>
      <c r="U28" s="14">
        <f>IF(AND(A28&gt;Drivers!C19,A28&lt;=(Drivers!C19+Drivers!C20)),Summary!C31*D28,0)</f>
        <v>27661.71669</v>
      </c>
      <c r="V28" s="14">
        <f>IF(A28&lt;=(Drivers!C19+Drivers!C20),(T28+U28/2)*Drivers!C36/12,T28*Drivers!C36/12)</f>
        <v>221.8136634</v>
      </c>
      <c r="W28" s="14">
        <f>IF(A28&gt;(Drivers!C19+Drivers!C20),MIN(T28,MAX(0,Summary!C32/12-V28)),0)</f>
        <v>0</v>
      </c>
      <c r="X28" s="14">
        <f>IF(A28=(Drivers!C19+1),Summary!C31*Drivers!C38,0)</f>
        <v>0</v>
      </c>
      <c r="Y28" s="14">
        <f t="shared" si="3"/>
        <v>36976.63191</v>
      </c>
      <c r="Z28" s="14">
        <f t="shared" si="4"/>
        <v>-2229397.375</v>
      </c>
      <c r="AA28" s="14">
        <f t="shared" si="7"/>
        <v>-8003657.752</v>
      </c>
      <c r="AB28" s="14">
        <f t="shared" si="5"/>
        <v>-2256837.278</v>
      </c>
      <c r="AC28" s="14">
        <f>(E28+F28+G28+H28)*Drivers!C45</f>
        <v>330360.3916</v>
      </c>
      <c r="AD28" s="14">
        <f>IF(A28&lt;=Summary!C18,AB28+IF(A28=Summary!C18,Summary!C40,0),0)</f>
        <v>-2256837.278</v>
      </c>
      <c r="AE28" s="14">
        <f>IF(A28&lt;=Summary!C18,Z28+IF(A28=Summary!C18,Summary!C40-Y28,0),0)</f>
        <v>-2229397.375</v>
      </c>
      <c r="AF28" s="14">
        <f>AD28-IF(A28=0,Drivers!C44,0)</f>
        <v>-2256837.278</v>
      </c>
      <c r="AG28" s="14">
        <f t="shared" si="8"/>
        <v>-8021973.853</v>
      </c>
    </row>
    <row r="29">
      <c r="A29" s="2">
        <v>27.0</v>
      </c>
      <c r="B29" s="15">
        <f>EDATE(Setup!B2,A29)</f>
        <v>47101</v>
      </c>
      <c r="C29" s="2" t="str">
        <f>IF(A29=0,"T0",IF(A29&lt;=Drivers!C19,"Preconstruction",IF(A29&lt;=(Drivers!C19+Drivers!C20),"Construction","Trading")))</f>
        <v>Construction</v>
      </c>
      <c r="D29" s="12">
        <f t="array" ref="D29">IF(AND(A29&gt;Drivers!C19,A29&lt;=(Drivers!C19+Drivers!C20)),SIN(PI()*(A29-Drivers!C19-0.5)/Drivers!C20)/SUMPRODUCT(SIN(PI()*(SEQUENCE(Drivers!C20,1)-0.5)/Drivers!C20)),0)</f>
        <v>0.0368336085</v>
      </c>
      <c r="E29" s="14">
        <f>(Summary!C10+Summary!C12)*D29*(1+Drivers!C21)^(A29/12)</f>
        <v>3408917.822</v>
      </c>
      <c r="F29" s="14">
        <f>IF(AND(A29&gt;0,A29&lt;=Drivers!C19),Summary!C11*Drivers!C40/Drivers!C19*(1+Drivers!C21)^(A29/12),Summary!C11*(1-Drivers!C40 )*D29*(1+Drivers!C21)^(A29/12))</f>
        <v>204827.6803</v>
      </c>
      <c r="G29" s="14">
        <f>IF(AND(A29&gt;0,A29&lt;=2),Drivers!C16/2,0)</f>
        <v>0</v>
      </c>
      <c r="H29" s="14">
        <f>IF(A29=(Drivers!C19+Drivers!C20),Drivers!C17*(1+Drivers!C21)^(A29/12),0)</f>
        <v>0</v>
      </c>
      <c r="I29" s="14">
        <f>IF(AND(A29&gt;0,A29&lt;=(Drivers!C19+Drivers!C20)),Drivers!C18*(1+Drivers!C23)^(A29/12),0)</f>
        <v>54612.87223</v>
      </c>
      <c r="J29" s="14">
        <f t="shared" si="1"/>
        <v>3668358.375</v>
      </c>
      <c r="K29" s="12">
        <f>IF(A29&gt;(Drivers!C19+Drivers!C20),MIN(1,0.5+0.5*(A29-(Drivers!C19+Drivers!C20))/Drivers!C39),0)</f>
        <v>0</v>
      </c>
      <c r="L29" s="14">
        <f>Drivers!C2*(B29-B28)*Drivers!C24*(1+Drivers!C22)^(A29/12)*Drivers!C25*K29</f>
        <v>0</v>
      </c>
      <c r="M29" s="14">
        <f>L29*Drivers!C26</f>
        <v>0</v>
      </c>
      <c r="N29" s="14">
        <f>(L29+M29)*Drivers!C27</f>
        <v>0</v>
      </c>
      <c r="O29" s="14">
        <f>IF(A29&gt;(Drivers!C19+Drivers!C20),Drivers!C28/12*(1+Drivers!C23)^(A29/12),0)</f>
        <v>0</v>
      </c>
      <c r="P29" s="14">
        <f>(L29+M29)*Drivers!C29</f>
        <v>0</v>
      </c>
      <c r="Q29" s="14">
        <f>Drivers!C3*Drivers!C30*(1+Drivers!C22)^(A29/12)*Drivers!C31*(1-Drivers!C32 )*K29</f>
        <v>0</v>
      </c>
      <c r="R29" s="14">
        <f>IF(A29&gt;(Drivers!C19+Drivers!C20),Drivers!C33/12*(1+Drivers!C23)^(A29/12),0)</f>
        <v>0</v>
      </c>
      <c r="S29" s="14">
        <f t="shared" si="2"/>
        <v>0</v>
      </c>
      <c r="T29" s="14">
        <f t="shared" si="6"/>
        <v>36976.63191</v>
      </c>
      <c r="U29" s="14">
        <f>IF(AND(A29&gt;Drivers!C19,A29&lt;=(Drivers!C19+Drivers!C20)),Summary!C31*D29,0)</f>
        <v>45168.03089</v>
      </c>
      <c r="V29" s="14">
        <f>IF(A29&lt;=(Drivers!C19+Drivers!C20),(T29+U29/2)*Drivers!C36/12,T29*Drivers!C36/12)</f>
        <v>570.7895372</v>
      </c>
      <c r="W29" s="14">
        <f>IF(A29&gt;(Drivers!C19+Drivers!C20),MIN(T29,MAX(0,Summary!C32/12-V29)),0)</f>
        <v>0</v>
      </c>
      <c r="X29" s="14">
        <f>IF(A29=(Drivers!C19+1),Summary!C31*Drivers!C38,0)</f>
        <v>0</v>
      </c>
      <c r="Y29" s="14">
        <f t="shared" si="3"/>
        <v>82144.6628</v>
      </c>
      <c r="Z29" s="14">
        <f t="shared" si="4"/>
        <v>-3623761.133</v>
      </c>
      <c r="AA29" s="14">
        <f t="shared" si="7"/>
        <v>-11627418.89</v>
      </c>
      <c r="AB29" s="14">
        <f t="shared" si="5"/>
        <v>-3668358.375</v>
      </c>
      <c r="AC29" s="14">
        <f>(E29+F29+G29+H29)*Drivers!C45</f>
        <v>542061.8254</v>
      </c>
      <c r="AD29" s="14">
        <f>IF(A29&lt;=Summary!C18,AB29+IF(A29=Summary!C18,Summary!C40,0),0)</f>
        <v>-3668358.375</v>
      </c>
      <c r="AE29" s="14">
        <f>IF(A29&lt;=Summary!C18,Z29+IF(A29=Summary!C18,Summary!C40-Y29,0),0)</f>
        <v>-3623761.133</v>
      </c>
      <c r="AF29" s="14">
        <f>AD29-IF(A29=0,Drivers!C44,0)</f>
        <v>-3668358.375</v>
      </c>
      <c r="AG29" s="14">
        <f t="shared" si="8"/>
        <v>-11690332.23</v>
      </c>
    </row>
    <row r="30">
      <c r="A30" s="2">
        <v>28.0</v>
      </c>
      <c r="B30" s="15">
        <f>EDATE(Setup!B2,A30)</f>
        <v>47132</v>
      </c>
      <c r="C30" s="2" t="str">
        <f>IF(A30=0,"T0",IF(A30&lt;=Drivers!C19,"Preconstruction",IF(A30&lt;=(Drivers!C19+Drivers!C20),"Construction","Trading")))</f>
        <v>Construction</v>
      </c>
      <c r="D30" s="12">
        <f t="array" ref="D30">IF(AND(A30&gt;Drivers!C19,A30&lt;=(Drivers!C19+Drivers!C20)),SIN(PI()*(A30-Drivers!C19-0.5)/Drivers!C20)/SUMPRODUCT(SIN(PI()*(SEQUENCE(Drivers!C20,1)-0.5)/Drivers!C20)),0)</f>
        <v>0.04999048033</v>
      </c>
      <c r="E30" s="14">
        <f>(Summary!C10+Summary!C12)*D30*(1+Drivers!C21)^(A30/12)</f>
        <v>4649094.736</v>
      </c>
      <c r="F30" s="14">
        <f>IF(AND(A30&gt;0,A30&lt;=Drivers!C19),Summary!C11*Drivers!C40/Drivers!C19*(1+Drivers!C21)^(A30/12),Summary!C11*(1-Drivers!C40 )*D30*(1+Drivers!C21)^(A30/12))</f>
        <v>279344.7481</v>
      </c>
      <c r="G30" s="14">
        <f>IF(AND(A30&gt;0,A30&lt;=2),Drivers!C16/2,0)</f>
        <v>0</v>
      </c>
      <c r="H30" s="14">
        <f>IF(A30=(Drivers!C19+Drivers!C20),Drivers!C17*(1+Drivers!C21)^(A30/12),0)</f>
        <v>0</v>
      </c>
      <c r="I30" s="14">
        <f>IF(AND(A30&gt;0,A30&lt;=(Drivers!C19+Drivers!C20)),Drivers!C18*(1+Drivers!C23)^(A30/12),0)</f>
        <v>54791.66056</v>
      </c>
      <c r="J30" s="14">
        <f t="shared" si="1"/>
        <v>4983231.144</v>
      </c>
      <c r="K30" s="12">
        <f>IF(A30&gt;(Drivers!C19+Drivers!C20),MIN(1,0.5+0.5*(A30-(Drivers!C19+Drivers!C20))/Drivers!C39),0)</f>
        <v>0</v>
      </c>
      <c r="L30" s="14">
        <f>Drivers!C2*(B30-B29)*Drivers!C24*(1+Drivers!C22)^(A30/12)*Drivers!C25*K30</f>
        <v>0</v>
      </c>
      <c r="M30" s="14">
        <f>L30*Drivers!C26</f>
        <v>0</v>
      </c>
      <c r="N30" s="14">
        <f>(L30+M30)*Drivers!C27</f>
        <v>0</v>
      </c>
      <c r="O30" s="14">
        <f>IF(A30&gt;(Drivers!C19+Drivers!C20),Drivers!C28/12*(1+Drivers!C23)^(A30/12),0)</f>
        <v>0</v>
      </c>
      <c r="P30" s="14">
        <f>(L30+M30)*Drivers!C29</f>
        <v>0</v>
      </c>
      <c r="Q30" s="14">
        <f>Drivers!C3*Drivers!C30*(1+Drivers!C22)^(A30/12)*Drivers!C31*(1-Drivers!C32 )*K30</f>
        <v>0</v>
      </c>
      <c r="R30" s="14">
        <f>IF(A30&gt;(Drivers!C19+Drivers!C20),Drivers!C33/12*(1+Drivers!C23)^(A30/12),0)</f>
        <v>0</v>
      </c>
      <c r="S30" s="14">
        <f t="shared" si="2"/>
        <v>0</v>
      </c>
      <c r="T30" s="14">
        <f t="shared" si="6"/>
        <v>82144.6628</v>
      </c>
      <c r="U30" s="14">
        <f>IF(AND(A30&gt;Drivers!C19,A30&lt;=(Drivers!C19+Drivers!C20)),Summary!C31*D30,0)</f>
        <v>61301.93733</v>
      </c>
      <c r="V30" s="14">
        <f>IF(A30&lt;=(Drivers!C19+Drivers!C20),(T30+U30/2)*Drivers!C36/12,T30*Drivers!C36/12)</f>
        <v>1080.958135</v>
      </c>
      <c r="W30" s="14">
        <f>IF(A30&gt;(Drivers!C19+Drivers!C20),MIN(T30,MAX(0,Summary!C32/12-V30)),0)</f>
        <v>0</v>
      </c>
      <c r="X30" s="14">
        <f>IF(A30=(Drivers!C19+1),Summary!C31*Drivers!C38,0)</f>
        <v>0</v>
      </c>
      <c r="Y30" s="14">
        <f t="shared" si="3"/>
        <v>143446.6001</v>
      </c>
      <c r="Z30" s="14">
        <f t="shared" si="4"/>
        <v>-4923010.165</v>
      </c>
      <c r="AA30" s="14">
        <f t="shared" si="7"/>
        <v>-16550429.05</v>
      </c>
      <c r="AB30" s="14">
        <f t="shared" si="5"/>
        <v>-4983231.144</v>
      </c>
      <c r="AC30" s="14">
        <f>(E30+F30+G30+H30)*Drivers!C45</f>
        <v>739265.9226</v>
      </c>
      <c r="AD30" s="14">
        <f>IF(A30&lt;=Summary!C18,AB30+IF(A30=Summary!C18,Summary!C40,0),0)</f>
        <v>-4983231.144</v>
      </c>
      <c r="AE30" s="14">
        <f>IF(A30&lt;=Summary!C18,Z30+IF(A30=Summary!C18,Summary!C40-Y30,0),0)</f>
        <v>-4923010.165</v>
      </c>
      <c r="AF30" s="14">
        <f>AD30-IF(A30=0,Drivers!C44,0)</f>
        <v>-4983231.144</v>
      </c>
      <c r="AG30" s="14">
        <f t="shared" si="8"/>
        <v>-16673563.37</v>
      </c>
    </row>
    <row r="31">
      <c r="A31" s="2">
        <v>29.0</v>
      </c>
      <c r="B31" s="15">
        <f>EDATE(Setup!B2,A31)</f>
        <v>47163</v>
      </c>
      <c r="C31" s="2" t="str">
        <f>IF(A31=0,"T0",IF(A31&lt;=Drivers!C19,"Preconstruction",IF(A31&lt;=(Drivers!C19+Drivers!C20),"Construction","Trading")))</f>
        <v>Construction</v>
      </c>
      <c r="D31" s="12">
        <f t="array" ref="D31">IF(AND(A31&gt;Drivers!C19,A31&lt;=(Drivers!C19+Drivers!C20)),SIN(PI()*(A31-Drivers!C19-0.5)/Drivers!C20)/SUMPRODUCT(SIN(PI()*(SEQUENCE(Drivers!C20,1)-0.5)/Drivers!C20)),0)</f>
        <v>0.06162841672</v>
      </c>
      <c r="E31" s="14">
        <f>(Summary!C10+Summary!C12)*D31*(1+Drivers!C21)^(A31/12)</f>
        <v>5759316.146</v>
      </c>
      <c r="F31" s="14">
        <f>IF(AND(A31&gt;0,A31&lt;=Drivers!C19),Summary!C11*Drivers!C40/Drivers!C19*(1+Drivers!C21)^(A31/12),Summary!C11*(1-Drivers!C40 )*D31*(1+Drivers!C21)^(A31/12))</f>
        <v>346053.3307</v>
      </c>
      <c r="G31" s="14">
        <f>IF(AND(A31&gt;0,A31&lt;=2),Drivers!C16/2,0)</f>
        <v>0</v>
      </c>
      <c r="H31" s="14">
        <f>IF(A31=(Drivers!C19+Drivers!C20),Drivers!C17*(1+Drivers!C21)^(A31/12),0)</f>
        <v>0</v>
      </c>
      <c r="I31" s="14">
        <f>IF(AND(A31&gt;0,A31&lt;=(Drivers!C19+Drivers!C20)),Drivers!C18*(1+Drivers!C23)^(A31/12),0)</f>
        <v>54971.0342</v>
      </c>
      <c r="J31" s="14">
        <f t="shared" si="1"/>
        <v>6160340.511</v>
      </c>
      <c r="K31" s="12">
        <f>IF(A31&gt;(Drivers!C19+Drivers!C20),MIN(1,0.5+0.5*(A31-(Drivers!C19+Drivers!C20))/Drivers!C39),0)</f>
        <v>0</v>
      </c>
      <c r="L31" s="14">
        <f>Drivers!C2*(B31-B30)*Drivers!C24*(1+Drivers!C22)^(A31/12)*Drivers!C25*K31</f>
        <v>0</v>
      </c>
      <c r="M31" s="14">
        <f>L31*Drivers!C26</f>
        <v>0</v>
      </c>
      <c r="N31" s="14">
        <f>(L31+M31)*Drivers!C27</f>
        <v>0</v>
      </c>
      <c r="O31" s="14">
        <f>IF(A31&gt;(Drivers!C19+Drivers!C20),Drivers!C28/12*(1+Drivers!C23)^(A31/12),0)</f>
        <v>0</v>
      </c>
      <c r="P31" s="14">
        <f>(L31+M31)*Drivers!C29</f>
        <v>0</v>
      </c>
      <c r="Q31" s="14">
        <f>Drivers!C3*Drivers!C30*(1+Drivers!C22)^(A31/12)*Drivers!C31*(1-Drivers!C32 )*K31</f>
        <v>0</v>
      </c>
      <c r="R31" s="14">
        <f>IF(A31&gt;(Drivers!C19+Drivers!C20),Drivers!C33/12*(1+Drivers!C23)^(A31/12),0)</f>
        <v>0</v>
      </c>
      <c r="S31" s="14">
        <f t="shared" si="2"/>
        <v>0</v>
      </c>
      <c r="T31" s="14">
        <f t="shared" si="6"/>
        <v>143446.6001</v>
      </c>
      <c r="U31" s="14">
        <f>IF(AND(A31&gt;Drivers!C19,A31&lt;=(Drivers!C19+Drivers!C20)),Summary!C31*D31,0)</f>
        <v>75573.21542</v>
      </c>
      <c r="V31" s="14">
        <f>IF(A31&lt;=(Drivers!C19+Drivers!C20),(T31+U31/2)*Drivers!C36/12,T31*Drivers!C36/12)</f>
        <v>1736.818242</v>
      </c>
      <c r="W31" s="14">
        <f>IF(A31&gt;(Drivers!C19+Drivers!C20),MIN(T31,MAX(0,Summary!C32/12-V31)),0)</f>
        <v>0</v>
      </c>
      <c r="X31" s="14">
        <f>IF(A31=(Drivers!C19+1),Summary!C31*Drivers!C38,0)</f>
        <v>0</v>
      </c>
      <c r="Y31" s="14">
        <f t="shared" si="3"/>
        <v>219019.8155</v>
      </c>
      <c r="Z31" s="14">
        <f t="shared" si="4"/>
        <v>-6086504.114</v>
      </c>
      <c r="AA31" s="14">
        <f t="shared" si="7"/>
        <v>-22636933.16</v>
      </c>
      <c r="AB31" s="14">
        <f t="shared" si="5"/>
        <v>-6160340.511</v>
      </c>
      <c r="AC31" s="14">
        <f>(E31+F31+G31+H31)*Drivers!C45</f>
        <v>915805.4215</v>
      </c>
      <c r="AD31" s="14">
        <f>IF(A31&lt;=Summary!C18,AB31+IF(A31=Summary!C18,Summary!C40,0),0)</f>
        <v>-6160340.511</v>
      </c>
      <c r="AE31" s="14">
        <f>IF(A31&lt;=Summary!C18,Z31+IF(A31=Summary!C18,Summary!C40-Y31,0),0)</f>
        <v>-6086504.114</v>
      </c>
      <c r="AF31" s="14">
        <f>AD31-IF(A31=0,Drivers!C44,0)</f>
        <v>-6160340.511</v>
      </c>
      <c r="AG31" s="14">
        <f t="shared" si="8"/>
        <v>-22833903.88</v>
      </c>
    </row>
    <row r="32">
      <c r="A32" s="2">
        <v>30.0</v>
      </c>
      <c r="B32" s="15">
        <f>EDATE(Setup!B2,A32)</f>
        <v>47191</v>
      </c>
      <c r="C32" s="2" t="str">
        <f>IF(A32=0,"T0",IF(A32&lt;=Drivers!C19,"Preconstruction",IF(A32&lt;=(Drivers!C19+Drivers!C20),"Construction","Trading")))</f>
        <v>Construction</v>
      </c>
      <c r="D32" s="12">
        <f t="array" ref="D32">IF(AND(A32&gt;Drivers!C19,A32&lt;=(Drivers!C19+Drivers!C20)),SIN(PI()*(A32-Drivers!C19-0.5)/Drivers!C20)/SUMPRODUCT(SIN(PI()*(SEQUENCE(Drivers!C20,1)-0.5)/Drivers!C20)),0)</f>
        <v>0.07139380484</v>
      </c>
      <c r="E32" s="14">
        <f>(Summary!C10+Summary!C12)*D32*(1+Drivers!C21)^(A32/12)</f>
        <v>6704389.825</v>
      </c>
      <c r="F32" s="14">
        <f>IF(AND(A32&gt;0,A32&lt;=Drivers!C19),Summary!C11*Drivers!C40/Drivers!C19*(1+Drivers!C21)^(A32/12),Summary!C11*(1-Drivers!C40 )*D32*(1+Drivers!C21)^(A32/12))</f>
        <v>402838.8736</v>
      </c>
      <c r="G32" s="14">
        <f>IF(AND(A32&gt;0,A32&lt;=2),Drivers!C16/2,0)</f>
        <v>0</v>
      </c>
      <c r="H32" s="14">
        <f>IF(A32=(Drivers!C19+Drivers!C20),Drivers!C17*(1+Drivers!C21)^(A32/12),0)</f>
        <v>0</v>
      </c>
      <c r="I32" s="14">
        <f>IF(AND(A32&gt;0,A32&lt;=(Drivers!C19+Drivers!C20)),Drivers!C18*(1+Drivers!C23)^(A32/12),0)</f>
        <v>55150.99506</v>
      </c>
      <c r="J32" s="14">
        <f t="shared" si="1"/>
        <v>7162379.693</v>
      </c>
      <c r="K32" s="12">
        <f>IF(A32&gt;(Drivers!C19+Drivers!C20),MIN(1,0.5+0.5*(A32-(Drivers!C19+Drivers!C20))/Drivers!C39),0)</f>
        <v>0</v>
      </c>
      <c r="L32" s="14">
        <f>Drivers!C2*(B32-B31)*Drivers!C24*(1+Drivers!C22)^(A32/12)*Drivers!C25*K32</f>
        <v>0</v>
      </c>
      <c r="M32" s="14">
        <f>L32*Drivers!C26</f>
        <v>0</v>
      </c>
      <c r="N32" s="14">
        <f>(L32+M32)*Drivers!C27</f>
        <v>0</v>
      </c>
      <c r="O32" s="14">
        <f>IF(A32&gt;(Drivers!C19+Drivers!C20),Drivers!C28/12*(1+Drivers!C23)^(A32/12),0)</f>
        <v>0</v>
      </c>
      <c r="P32" s="14">
        <f>(L32+M32)*Drivers!C29</f>
        <v>0</v>
      </c>
      <c r="Q32" s="14">
        <f>Drivers!C3*Drivers!C30*(1+Drivers!C22)^(A32/12)*Drivers!C31*(1-Drivers!C32 )*K32</f>
        <v>0</v>
      </c>
      <c r="R32" s="14">
        <f>IF(A32&gt;(Drivers!C19+Drivers!C20),Drivers!C33/12*(1+Drivers!C23)^(A32/12),0)</f>
        <v>0</v>
      </c>
      <c r="S32" s="14">
        <f t="shared" si="2"/>
        <v>0</v>
      </c>
      <c r="T32" s="14">
        <f t="shared" si="6"/>
        <v>219019.8155</v>
      </c>
      <c r="U32" s="14">
        <f>IF(AND(A32&gt;Drivers!C19,A32&lt;=(Drivers!C19+Drivers!C20)),Summary!C31*D32,0)</f>
        <v>87548.2396</v>
      </c>
      <c r="V32" s="14">
        <f>IF(A32&lt;=(Drivers!C19+Drivers!C20),(T32+U32/2)*Drivers!C36/12,T32*Drivers!C36/12)</f>
        <v>2518.44188</v>
      </c>
      <c r="W32" s="14">
        <f>IF(A32&gt;(Drivers!C19+Drivers!C20),MIN(T32,MAX(0,Summary!C32/12-V32)),0)</f>
        <v>0</v>
      </c>
      <c r="X32" s="14">
        <f>IF(A32=(Drivers!C19+1),Summary!C31*Drivers!C38,0)</f>
        <v>0</v>
      </c>
      <c r="Y32" s="14">
        <f t="shared" si="3"/>
        <v>306568.0552</v>
      </c>
      <c r="Z32" s="14">
        <f t="shared" si="4"/>
        <v>-7077349.896</v>
      </c>
      <c r="AA32" s="14">
        <f t="shared" si="7"/>
        <v>-29714283.06</v>
      </c>
      <c r="AB32" s="14">
        <f t="shared" si="5"/>
        <v>-7162379.693</v>
      </c>
      <c r="AC32" s="14">
        <f>(E32+F32+G32+H32)*Drivers!C45</f>
        <v>1066084.305</v>
      </c>
      <c r="AD32" s="14">
        <f>IF(A32&lt;=Summary!C18,AB32+IF(A32=Summary!C18,Summary!C40,0),0)</f>
        <v>-7162379.693</v>
      </c>
      <c r="AE32" s="14">
        <f>IF(A32&lt;=Summary!C18,Z32+IF(A32=Summary!C18,Summary!C40-Y32,0),0)</f>
        <v>-7077349.896</v>
      </c>
      <c r="AF32" s="14">
        <f>AD32-IF(A32=0,Drivers!C44,0)</f>
        <v>-7162379.693</v>
      </c>
      <c r="AG32" s="14">
        <f t="shared" si="8"/>
        <v>-29996283.58</v>
      </c>
    </row>
    <row r="33">
      <c r="A33" s="2">
        <v>31.0</v>
      </c>
      <c r="B33" s="15">
        <f>EDATE(Setup!B2,A33)</f>
        <v>47222</v>
      </c>
      <c r="C33" s="2" t="str">
        <f>IF(A33=0,"T0",IF(A33&lt;=Drivers!C19,"Preconstruction",IF(A33&lt;=(Drivers!C19+Drivers!C20),"Construction","Trading")))</f>
        <v>Construction</v>
      </c>
      <c r="D33" s="12">
        <f t="array" ref="D33">IF(AND(A33&gt;Drivers!C19,A33&lt;=(Drivers!C19+Drivers!C20)),SIN(PI()*(A33-Drivers!C19-0.5)/Drivers!C20)/SUMPRODUCT(SIN(PI()*(SEQUENCE(Drivers!C20,1)-0.5)/Drivers!C20)),0)</f>
        <v>0.07898992834</v>
      </c>
      <c r="E33" s="14">
        <f>(Summary!C10+Summary!C12)*D33*(1+Drivers!C21)^(A33/12)</f>
        <v>7453826.377</v>
      </c>
      <c r="F33" s="14">
        <f>IF(AND(A33&gt;0,A33&lt;=Drivers!C19),Summary!C11*Drivers!C40/Drivers!C19*(1+Drivers!C21)^(A33/12),Summary!C11*(1-Drivers!C40 )*D33*(1+Drivers!C21)^(A33/12))</f>
        <v>447869.396</v>
      </c>
      <c r="G33" s="14">
        <f>IF(AND(A33&gt;0,A33&lt;=2),Drivers!C16/2,0)</f>
        <v>0</v>
      </c>
      <c r="H33" s="14">
        <f>IF(A33=(Drivers!C19+Drivers!C20),Drivers!C17*(1+Drivers!C21)^(A33/12),0)</f>
        <v>0</v>
      </c>
      <c r="I33" s="14">
        <f>IF(AND(A33&gt;0,A33&lt;=(Drivers!C19+Drivers!C20)),Drivers!C18*(1+Drivers!C23)^(A33/12),0)</f>
        <v>55331.54507</v>
      </c>
      <c r="J33" s="14">
        <f t="shared" si="1"/>
        <v>7957027.318</v>
      </c>
      <c r="K33" s="12">
        <f>IF(A33&gt;(Drivers!C19+Drivers!C20),MIN(1,0.5+0.5*(A33-(Drivers!C19+Drivers!C20))/Drivers!C39),0)</f>
        <v>0</v>
      </c>
      <c r="L33" s="14">
        <f>Drivers!C2*(B33-B32)*Drivers!C24*(1+Drivers!C22)^(A33/12)*Drivers!C25*K33</f>
        <v>0</v>
      </c>
      <c r="M33" s="14">
        <f>L33*Drivers!C26</f>
        <v>0</v>
      </c>
      <c r="N33" s="14">
        <f>(L33+M33)*Drivers!C27</f>
        <v>0</v>
      </c>
      <c r="O33" s="14">
        <f>IF(A33&gt;(Drivers!C19+Drivers!C20),Drivers!C28/12*(1+Drivers!C23)^(A33/12),0)</f>
        <v>0</v>
      </c>
      <c r="P33" s="14">
        <f>(L33+M33)*Drivers!C29</f>
        <v>0</v>
      </c>
      <c r="Q33" s="14">
        <f>Drivers!C3*Drivers!C30*(1+Drivers!C22)^(A33/12)*Drivers!C31*(1-Drivers!C32 )*K33</f>
        <v>0</v>
      </c>
      <c r="R33" s="14">
        <f>IF(A33&gt;(Drivers!C19+Drivers!C20),Drivers!C33/12*(1+Drivers!C23)^(A33/12),0)</f>
        <v>0</v>
      </c>
      <c r="S33" s="14">
        <f t="shared" si="2"/>
        <v>0</v>
      </c>
      <c r="T33" s="14">
        <f t="shared" si="6"/>
        <v>306568.0552</v>
      </c>
      <c r="U33" s="14">
        <f>IF(AND(A33&gt;Drivers!C19,A33&lt;=(Drivers!C19+Drivers!C20)),Summary!C31*D33,0)</f>
        <v>96863.15483</v>
      </c>
      <c r="V33" s="14">
        <f>IF(A33&lt;=(Drivers!C19+Drivers!C20),(T33+U33/2)*Drivers!C36/12,T33*Drivers!C36/12)</f>
        <v>3402.079812</v>
      </c>
      <c r="W33" s="14">
        <f>IF(A33&gt;(Drivers!C19+Drivers!C20),MIN(T33,MAX(0,Summary!C32/12-V33)),0)</f>
        <v>0</v>
      </c>
      <c r="X33" s="14">
        <f>IF(A33=(Drivers!C19+1),Summary!C31*Drivers!C38,0)</f>
        <v>0</v>
      </c>
      <c r="Y33" s="14">
        <f t="shared" si="3"/>
        <v>403431.21</v>
      </c>
      <c r="Z33" s="14">
        <f t="shared" si="4"/>
        <v>-7863566.243</v>
      </c>
      <c r="AA33" s="14">
        <f t="shared" si="7"/>
        <v>-37577849.3</v>
      </c>
      <c r="AB33" s="14">
        <f t="shared" si="5"/>
        <v>-7957027.318</v>
      </c>
      <c r="AC33" s="14">
        <f>(E33+F33+G33+H33)*Drivers!C45</f>
        <v>1185254.366</v>
      </c>
      <c r="AD33" s="14">
        <f>IF(A33&lt;=Summary!C18,AB33+IF(A33=Summary!C18,Summary!C40,0),0)</f>
        <v>-7957027.318</v>
      </c>
      <c r="AE33" s="14">
        <f>IF(A33&lt;=Summary!C18,Z33+IF(A33=Summary!C18,Summary!C40-Y33,0),0)</f>
        <v>-7863566.243</v>
      </c>
      <c r="AF33" s="14">
        <f>AD33-IF(A33=0,Drivers!C44,0)</f>
        <v>-7957027.318</v>
      </c>
      <c r="AG33" s="14">
        <f t="shared" si="8"/>
        <v>-37953310.89</v>
      </c>
    </row>
    <row r="34">
      <c r="A34" s="2">
        <v>32.0</v>
      </c>
      <c r="B34" s="15">
        <f>EDATE(Setup!B2,A34)</f>
        <v>47252</v>
      </c>
      <c r="C34" s="2" t="str">
        <f>IF(A34=0,"T0",IF(A34&lt;=Drivers!C19,"Preconstruction",IF(A34&lt;=(Drivers!C19+Drivers!C20),"Construction","Trading")))</f>
        <v>Construction</v>
      </c>
      <c r="D34" s="12">
        <f t="array" ref="D34">IF(AND(A34&gt;Drivers!C19,A34&lt;=(Drivers!C19+Drivers!C20)),SIN(PI()*(A34-Drivers!C19-0.5)/Drivers!C20)/SUMPRODUCT(SIN(PI()*(SEQUENCE(Drivers!C20,1)-0.5)/Drivers!C20)),0)</f>
        <v>0.08418598283</v>
      </c>
      <c r="E34" s="14">
        <f>(Summary!C10+Summary!C12)*D34*(1+Drivers!C21)^(A34/12)</f>
        <v>7982816.773</v>
      </c>
      <c r="F34" s="14">
        <f>IF(AND(A34&gt;0,A34&lt;=Drivers!C19),Summary!C11*Drivers!C40/Drivers!C19*(1+Drivers!C21)^(A34/12),Summary!C11*(1-Drivers!C40 )*D34*(1+Drivers!C21)^(A34/12))</f>
        <v>479654.2267</v>
      </c>
      <c r="G34" s="14">
        <f>IF(AND(A34&gt;0,A34&lt;=2),Drivers!C16/2,0)</f>
        <v>0</v>
      </c>
      <c r="H34" s="14">
        <f>IF(A34=(Drivers!C19+Drivers!C20),Drivers!C17*(1+Drivers!C21)^(A34/12),0)</f>
        <v>0</v>
      </c>
      <c r="I34" s="14">
        <f>IF(AND(A34&gt;0,A34&lt;=(Drivers!C19+Drivers!C20)),Drivers!C18*(1+Drivers!C23)^(A34/12),0)</f>
        <v>55512.68615</v>
      </c>
      <c r="J34" s="14">
        <f t="shared" si="1"/>
        <v>8517983.686</v>
      </c>
      <c r="K34" s="12">
        <f>IF(A34&gt;(Drivers!C19+Drivers!C20),MIN(1,0.5+0.5*(A34-(Drivers!C19+Drivers!C20))/Drivers!C39),0)</f>
        <v>0</v>
      </c>
      <c r="L34" s="14">
        <f>Drivers!C2*(B34-B33)*Drivers!C24*(1+Drivers!C22)^(A34/12)*Drivers!C25*K34</f>
        <v>0</v>
      </c>
      <c r="M34" s="14">
        <f>L34*Drivers!C26</f>
        <v>0</v>
      </c>
      <c r="N34" s="14">
        <f>(L34+M34)*Drivers!C27</f>
        <v>0</v>
      </c>
      <c r="O34" s="14">
        <f>IF(A34&gt;(Drivers!C19+Drivers!C20),Drivers!C28/12*(1+Drivers!C23)^(A34/12),0)</f>
        <v>0</v>
      </c>
      <c r="P34" s="14">
        <f>(L34+M34)*Drivers!C29</f>
        <v>0</v>
      </c>
      <c r="Q34" s="14">
        <f>Drivers!C3*Drivers!C30*(1+Drivers!C22)^(A34/12)*Drivers!C31*(1-Drivers!C32 )*K34</f>
        <v>0</v>
      </c>
      <c r="R34" s="14">
        <f>IF(A34&gt;(Drivers!C19+Drivers!C20),Drivers!C33/12*(1+Drivers!C23)^(A34/12),0)</f>
        <v>0</v>
      </c>
      <c r="S34" s="14">
        <f t="shared" si="2"/>
        <v>0</v>
      </c>
      <c r="T34" s="14">
        <f t="shared" si="6"/>
        <v>403431.21</v>
      </c>
      <c r="U34" s="14">
        <f>IF(AND(A34&gt;Drivers!C19,A34&lt;=(Drivers!C19+Drivers!C20)),Summary!C31*D34,0)</f>
        <v>103234.9321</v>
      </c>
      <c r="V34" s="14">
        <f>IF(A34&lt;=(Drivers!C19+Drivers!C20),(T34+U34/2)*Drivers!C36/12,T34*Drivers!C36/12)</f>
        <v>4360.883145</v>
      </c>
      <c r="W34" s="14">
        <f>IF(A34&gt;(Drivers!C19+Drivers!C20),MIN(T34,MAX(0,Summary!C32/12-V34)),0)</f>
        <v>0</v>
      </c>
      <c r="X34" s="14">
        <f>IF(A34=(Drivers!C19+1),Summary!C31*Drivers!C38,0)</f>
        <v>0</v>
      </c>
      <c r="Y34" s="14">
        <f t="shared" si="3"/>
        <v>506666.1421</v>
      </c>
      <c r="Z34" s="14">
        <f t="shared" si="4"/>
        <v>-8419109.637</v>
      </c>
      <c r="AA34" s="14">
        <f t="shared" si="7"/>
        <v>-45996958.94</v>
      </c>
      <c r="AB34" s="14">
        <f t="shared" si="5"/>
        <v>-8517983.686</v>
      </c>
      <c r="AC34" s="14">
        <f>(E34+F34+G34+H34)*Drivers!C45</f>
        <v>1269370.65</v>
      </c>
      <c r="AD34" s="14">
        <f>IF(A34&lt;=Summary!C18,AB34+IF(A34=Summary!C18,Summary!C40,0),0)</f>
        <v>-8517983.686</v>
      </c>
      <c r="AE34" s="14">
        <f>IF(A34&lt;=Summary!C18,Z34+IF(A34=Summary!C18,Summary!C40-Y34,0),0)</f>
        <v>-8419109.637</v>
      </c>
      <c r="AF34" s="14">
        <f>AD34-IF(A34=0,Drivers!C44,0)</f>
        <v>-8517983.686</v>
      </c>
      <c r="AG34" s="14">
        <f t="shared" si="8"/>
        <v>-46471294.58</v>
      </c>
    </row>
    <row r="35">
      <c r="A35" s="2">
        <v>33.0</v>
      </c>
      <c r="B35" s="15">
        <f>EDATE(Setup!B2,A35)</f>
        <v>47283</v>
      </c>
      <c r="C35" s="2" t="str">
        <f>IF(A35=0,"T0",IF(A35&lt;=Drivers!C19,"Preconstruction",IF(A35&lt;=(Drivers!C19+Drivers!C20),"Construction","Trading")))</f>
        <v>Construction</v>
      </c>
      <c r="D35" s="12">
        <f t="array" ref="D35">IF(AND(A35&gt;Drivers!C19,A35&lt;=(Drivers!C19+Drivers!C20)),SIN(PI()*(A35-Drivers!C19-0.5)/Drivers!C20)/SUMPRODUCT(SIN(PI()*(SEQUENCE(Drivers!C20,1)-0.5)/Drivers!C20)),0)</f>
        <v>0.08682408883</v>
      </c>
      <c r="E35" s="14">
        <f>(Summary!C10+Summary!C12)*D35*(1+Drivers!C21)^(A35/12)</f>
        <v>8273045.849</v>
      </c>
      <c r="F35" s="14">
        <f>IF(AND(A35&gt;0,A35&lt;=Drivers!C19),Summary!C11*Drivers!C40/Drivers!C19*(1+Drivers!C21)^(A35/12),Summary!C11*(1-Drivers!C40 )*D35*(1+Drivers!C21)^(A35/12))</f>
        <v>497092.8836</v>
      </c>
      <c r="G35" s="14">
        <f>IF(AND(A35&gt;0,A35&lt;=2),Drivers!C16/2,0)</f>
        <v>0</v>
      </c>
      <c r="H35" s="14">
        <f>IF(A35=(Drivers!C19+Drivers!C20),Drivers!C17*(1+Drivers!C21)^(A35/12),0)</f>
        <v>0</v>
      </c>
      <c r="I35" s="14">
        <f>IF(AND(A35&gt;0,A35&lt;=(Drivers!C19+Drivers!C20)),Drivers!C18*(1+Drivers!C23)^(A35/12),0)</f>
        <v>55694.42023</v>
      </c>
      <c r="J35" s="14">
        <f t="shared" si="1"/>
        <v>8825833.153</v>
      </c>
      <c r="K35" s="12">
        <f>IF(A35&gt;(Drivers!C19+Drivers!C20),MIN(1,0.5+0.5*(A35-(Drivers!C19+Drivers!C20))/Drivers!C39),0)</f>
        <v>0</v>
      </c>
      <c r="L35" s="14">
        <f>Drivers!C2*(B35-B34)*Drivers!C24*(1+Drivers!C22)^(A35/12)*Drivers!C25*K35</f>
        <v>0</v>
      </c>
      <c r="M35" s="14">
        <f>L35*Drivers!C26</f>
        <v>0</v>
      </c>
      <c r="N35" s="14">
        <f>(L35+M35)*Drivers!C27</f>
        <v>0</v>
      </c>
      <c r="O35" s="14">
        <f>IF(A35&gt;(Drivers!C19+Drivers!C20),Drivers!C28/12*(1+Drivers!C23)^(A35/12),0)</f>
        <v>0</v>
      </c>
      <c r="P35" s="14">
        <f>(L35+M35)*Drivers!C29</f>
        <v>0</v>
      </c>
      <c r="Q35" s="14">
        <f>Drivers!C3*Drivers!C30*(1+Drivers!C22)^(A35/12)*Drivers!C31*(1-Drivers!C32 )*K35</f>
        <v>0</v>
      </c>
      <c r="R35" s="14">
        <f>IF(A35&gt;(Drivers!C19+Drivers!C20),Drivers!C33/12*(1+Drivers!C23)^(A35/12),0)</f>
        <v>0</v>
      </c>
      <c r="S35" s="14">
        <f t="shared" si="2"/>
        <v>0</v>
      </c>
      <c r="T35" s="14">
        <f t="shared" si="6"/>
        <v>506666.1421</v>
      </c>
      <c r="U35" s="14">
        <f>IF(AND(A35&gt;Drivers!C19,A35&lt;=(Drivers!C19+Drivers!C20)),Summary!C31*D35,0)</f>
        <v>106469.9682</v>
      </c>
      <c r="V35" s="14">
        <f>IF(A35&lt;=(Drivers!C19+Drivers!C20),(T35+U35/2)*Drivers!C36/12,T35*Drivers!C36/12)</f>
        <v>5365.719126</v>
      </c>
      <c r="W35" s="14">
        <f>IF(A35&gt;(Drivers!C19+Drivers!C20),MIN(T35,MAX(0,Summary!C32/12-V35)),0)</f>
        <v>0</v>
      </c>
      <c r="X35" s="14">
        <f>IF(A35=(Drivers!C19+1),Summary!C31*Drivers!C38,0)</f>
        <v>0</v>
      </c>
      <c r="Y35" s="14">
        <f t="shared" si="3"/>
        <v>613136.1103</v>
      </c>
      <c r="Z35" s="14">
        <f t="shared" si="4"/>
        <v>-8724728.904</v>
      </c>
      <c r="AA35" s="14">
        <f t="shared" si="7"/>
        <v>-54721687.84</v>
      </c>
      <c r="AB35" s="14">
        <f t="shared" si="5"/>
        <v>-8825833.153</v>
      </c>
      <c r="AC35" s="14">
        <f>(E35+F35+G35+H35)*Drivers!C45</f>
        <v>1315520.81</v>
      </c>
      <c r="AD35" s="14">
        <f>IF(A35&lt;=Summary!C18,AB35+IF(A35=Summary!C18,Summary!C40,0),0)</f>
        <v>-8825833.153</v>
      </c>
      <c r="AE35" s="14">
        <f>IF(A35&lt;=Summary!C18,Z35+IF(A35=Summary!C18,Summary!C40-Y35,0),0)</f>
        <v>-8724728.904</v>
      </c>
      <c r="AF35" s="14">
        <f>AD35-IF(A35=0,Drivers!C44,0)</f>
        <v>-8825833.153</v>
      </c>
      <c r="AG35" s="14">
        <f t="shared" si="8"/>
        <v>-55297127.73</v>
      </c>
    </row>
    <row r="36">
      <c r="A36" s="2">
        <v>34.0</v>
      </c>
      <c r="B36" s="15">
        <f>EDATE(Setup!B2,A36)</f>
        <v>47313</v>
      </c>
      <c r="C36" s="2" t="str">
        <f>IF(A36=0,"T0",IF(A36&lt;=Drivers!C19,"Preconstruction",IF(A36&lt;=(Drivers!C19+Drivers!C20),"Construction","Trading")))</f>
        <v>Construction</v>
      </c>
      <c r="D36" s="12">
        <f t="array" ref="D36">IF(AND(A36&gt;Drivers!C19,A36&lt;=(Drivers!C19+Drivers!C20)),SIN(PI()*(A36-Drivers!C19-0.5)/Drivers!C20)/SUMPRODUCT(SIN(PI()*(SEQUENCE(Drivers!C20,1)-0.5)/Drivers!C20)),0)</f>
        <v>0.08682408883</v>
      </c>
      <c r="E36" s="14">
        <f>(Summary!C10+Summary!C12)*D36*(1+Drivers!C21)^(A36/12)</f>
        <v>8313315.318</v>
      </c>
      <c r="F36" s="14">
        <f>IF(AND(A36&gt;0,A36&lt;=Drivers!C19),Summary!C11*Drivers!C40/Drivers!C19*(1+Drivers!C21)^(A36/12),Summary!C11*(1-Drivers!C40 )*D36*(1+Drivers!C21)^(A36/12))</f>
        <v>499512.5084</v>
      </c>
      <c r="G36" s="14">
        <f>IF(AND(A36&gt;0,A36&lt;=2),Drivers!C16/2,0)</f>
        <v>0</v>
      </c>
      <c r="H36" s="14">
        <f>IF(A36=(Drivers!C19+Drivers!C20),Drivers!C17*(1+Drivers!C21)^(A36/12),0)</f>
        <v>0</v>
      </c>
      <c r="I36" s="14">
        <f>IF(AND(A36&gt;0,A36&lt;=(Drivers!C19+Drivers!C20)),Drivers!C18*(1+Drivers!C23)^(A36/12),0)</f>
        <v>55876.74927</v>
      </c>
      <c r="J36" s="14">
        <f t="shared" si="1"/>
        <v>8868704.576</v>
      </c>
      <c r="K36" s="12">
        <f>IF(A36&gt;(Drivers!C19+Drivers!C20),MIN(1,0.5+0.5*(A36-(Drivers!C19+Drivers!C20))/Drivers!C39),0)</f>
        <v>0</v>
      </c>
      <c r="L36" s="14">
        <f>Drivers!C2*(B36-B35)*Drivers!C24*(1+Drivers!C22)^(A36/12)*Drivers!C25*K36</f>
        <v>0</v>
      </c>
      <c r="M36" s="14">
        <f>L36*Drivers!C26</f>
        <v>0</v>
      </c>
      <c r="N36" s="14">
        <f>(L36+M36)*Drivers!C27</f>
        <v>0</v>
      </c>
      <c r="O36" s="14">
        <f>IF(A36&gt;(Drivers!C19+Drivers!C20),Drivers!C28/12*(1+Drivers!C23)^(A36/12),0)</f>
        <v>0</v>
      </c>
      <c r="P36" s="14">
        <f>(L36+M36)*Drivers!C29</f>
        <v>0</v>
      </c>
      <c r="Q36" s="14">
        <f>Drivers!C3*Drivers!C30*(1+Drivers!C22)^(A36/12)*Drivers!C31*(1-Drivers!C32 )*K36</f>
        <v>0</v>
      </c>
      <c r="R36" s="14">
        <f>IF(A36&gt;(Drivers!C19+Drivers!C20),Drivers!C33/12*(1+Drivers!C23)^(A36/12),0)</f>
        <v>0</v>
      </c>
      <c r="S36" s="14">
        <f t="shared" si="2"/>
        <v>0</v>
      </c>
      <c r="T36" s="14">
        <f t="shared" si="6"/>
        <v>613136.1103</v>
      </c>
      <c r="U36" s="14">
        <f>IF(AND(A36&gt;Drivers!C19,A36&lt;=(Drivers!C19+Drivers!C20)),Summary!C31*D36,0)</f>
        <v>106469.9682</v>
      </c>
      <c r="V36" s="14">
        <f>IF(A36&lt;=(Drivers!C19+Drivers!C20),(T36+U36/2)*Drivers!C36/12,T36*Drivers!C36/12)</f>
        <v>6386.056321</v>
      </c>
      <c r="W36" s="14">
        <f>IF(A36&gt;(Drivers!C19+Drivers!C20),MIN(T36,MAX(0,Summary!C32/12-V36)),0)</f>
        <v>0</v>
      </c>
      <c r="X36" s="14">
        <f>IF(A36=(Drivers!C19+1),Summary!C31*Drivers!C38,0)</f>
        <v>0</v>
      </c>
      <c r="Y36" s="14">
        <f t="shared" si="3"/>
        <v>719606.0785</v>
      </c>
      <c r="Z36" s="14">
        <f t="shared" si="4"/>
        <v>-8768620.664</v>
      </c>
      <c r="AA36" s="14">
        <f t="shared" si="7"/>
        <v>-63490308.51</v>
      </c>
      <c r="AB36" s="14">
        <f t="shared" si="5"/>
        <v>-8868704.576</v>
      </c>
      <c r="AC36" s="14">
        <f>(E36+F36+G36+H36)*Drivers!C45</f>
        <v>1321924.174</v>
      </c>
      <c r="AD36" s="14">
        <f>IF(A36&lt;=Summary!C18,AB36+IF(A36=Summary!C18,Summary!C40,0),0)</f>
        <v>-8868704.576</v>
      </c>
      <c r="AE36" s="14">
        <f>IF(A36&lt;=Summary!C18,Z36+IF(A36=Summary!C18,Summary!C40-Y36,0),0)</f>
        <v>-8768620.664</v>
      </c>
      <c r="AF36" s="14">
        <f>AD36-IF(A36=0,Drivers!C44,0)</f>
        <v>-8868704.576</v>
      </c>
      <c r="AG36" s="14">
        <f t="shared" si="8"/>
        <v>-64165832.31</v>
      </c>
    </row>
    <row r="37">
      <c r="A37" s="2">
        <v>35.0</v>
      </c>
      <c r="B37" s="15">
        <f>EDATE(Setup!B2,A37)</f>
        <v>47344</v>
      </c>
      <c r="C37" s="2" t="str">
        <f>IF(A37=0,"T0",IF(A37&lt;=Drivers!C19,"Preconstruction",IF(A37&lt;=(Drivers!C19+Drivers!C20),"Construction","Trading")))</f>
        <v>Construction</v>
      </c>
      <c r="D37" s="12">
        <f t="array" ref="D37">IF(AND(A37&gt;Drivers!C19,A37&lt;=(Drivers!C19+Drivers!C20)),SIN(PI()*(A37-Drivers!C19-0.5)/Drivers!C20)/SUMPRODUCT(SIN(PI()*(SEQUENCE(Drivers!C20,1)-0.5)/Drivers!C20)),0)</f>
        <v>0.08418598283</v>
      </c>
      <c r="E37" s="14">
        <f>(Summary!C10+Summary!C12)*D37*(1+Drivers!C21)^(A37/12)</f>
        <v>8099955.398</v>
      </c>
      <c r="F37" s="14">
        <f>IF(AND(A37&gt;0,A37&lt;=Drivers!C19),Summary!C11*Drivers!C40/Drivers!C19*(1+Drivers!C21)^(A37/12),Summary!C11*(1-Drivers!C40 )*D37*(1+Drivers!C21)^(A37/12))</f>
        <v>486692.599</v>
      </c>
      <c r="G37" s="14">
        <f>IF(AND(A37&gt;0,A37&lt;=2),Drivers!C16/2,0)</f>
        <v>0</v>
      </c>
      <c r="H37" s="14">
        <f>IF(A37=(Drivers!C19+Drivers!C20),Drivers!C17*(1+Drivers!C21)^(A37/12),0)</f>
        <v>0</v>
      </c>
      <c r="I37" s="14">
        <f>IF(AND(A37&gt;0,A37&lt;=(Drivers!C19+Drivers!C20)),Drivers!C18*(1+Drivers!C23)^(A37/12),0)</f>
        <v>56059.67521</v>
      </c>
      <c r="J37" s="14">
        <f t="shared" si="1"/>
        <v>8642707.673</v>
      </c>
      <c r="K37" s="12">
        <f>IF(A37&gt;(Drivers!C19+Drivers!C20),MIN(1,0.5+0.5*(A37-(Drivers!C19+Drivers!C20))/Drivers!C39),0)</f>
        <v>0</v>
      </c>
      <c r="L37" s="14">
        <f>Drivers!C2*(B37-B36)*Drivers!C24*(1+Drivers!C22)^(A37/12)*Drivers!C25*K37</f>
        <v>0</v>
      </c>
      <c r="M37" s="14">
        <f>L37*Drivers!C26</f>
        <v>0</v>
      </c>
      <c r="N37" s="14">
        <f>(L37+M37)*Drivers!C27</f>
        <v>0</v>
      </c>
      <c r="O37" s="14">
        <f>IF(A37&gt;(Drivers!C19+Drivers!C20),Drivers!C28/12*(1+Drivers!C23)^(A37/12),0)</f>
        <v>0</v>
      </c>
      <c r="P37" s="14">
        <f>(L37+M37)*Drivers!C29</f>
        <v>0</v>
      </c>
      <c r="Q37" s="14">
        <f>Drivers!C3*Drivers!C30*(1+Drivers!C22)^(A37/12)*Drivers!C31*(1-Drivers!C32 )*K37</f>
        <v>0</v>
      </c>
      <c r="R37" s="14">
        <f>IF(A37&gt;(Drivers!C19+Drivers!C20),Drivers!C33/12*(1+Drivers!C23)^(A37/12),0)</f>
        <v>0</v>
      </c>
      <c r="S37" s="14">
        <f t="shared" si="2"/>
        <v>0</v>
      </c>
      <c r="T37" s="14">
        <f t="shared" si="6"/>
        <v>719606.0785</v>
      </c>
      <c r="U37" s="14">
        <f>IF(AND(A37&gt;Drivers!C19,A37&lt;=(Drivers!C19+Drivers!C20)),Summary!C31*D37,0)</f>
        <v>103234.9321</v>
      </c>
      <c r="V37" s="14">
        <f>IF(A37&lt;=(Drivers!C19+Drivers!C20),(T37+U37/2)*Drivers!C36/12,T37*Drivers!C36/12)</f>
        <v>7390.892302</v>
      </c>
      <c r="W37" s="14">
        <f>IF(A37&gt;(Drivers!C19+Drivers!C20),MIN(T37,MAX(0,Summary!C32/12-V37)),0)</f>
        <v>0</v>
      </c>
      <c r="X37" s="14">
        <f>IF(A37=(Drivers!C19+1),Summary!C31*Drivers!C38,0)</f>
        <v>0</v>
      </c>
      <c r="Y37" s="14">
        <f t="shared" si="3"/>
        <v>822841.0106</v>
      </c>
      <c r="Z37" s="14">
        <f t="shared" si="4"/>
        <v>-8546863.633</v>
      </c>
      <c r="AA37" s="14">
        <f t="shared" si="7"/>
        <v>-72037172.14</v>
      </c>
      <c r="AB37" s="14">
        <f t="shared" si="5"/>
        <v>-8642707.673</v>
      </c>
      <c r="AC37" s="14">
        <f>(E37+F37+G37+H37)*Drivers!C45</f>
        <v>1287997.2</v>
      </c>
      <c r="AD37" s="14">
        <f>IF(A37&lt;=Summary!C18,AB37+IF(A37=Summary!C18,Summary!C40,0),0)</f>
        <v>-8642707.673</v>
      </c>
      <c r="AE37" s="14">
        <f>IF(A37&lt;=Summary!C18,Z37+IF(A37=Summary!C18,Summary!C40-Y37,0),0)</f>
        <v>-8546863.633</v>
      </c>
      <c r="AF37" s="14">
        <f>AD37-IF(A37=0,Drivers!C44,0)</f>
        <v>-8642707.673</v>
      </c>
      <c r="AG37" s="14">
        <f t="shared" si="8"/>
        <v>-72808539.98</v>
      </c>
    </row>
    <row r="38">
      <c r="A38" s="2">
        <v>36.0</v>
      </c>
      <c r="B38" s="15">
        <f>EDATE(Setup!B2,A38)</f>
        <v>47375</v>
      </c>
      <c r="C38" s="2" t="str">
        <f>IF(A38=0,"T0",IF(A38&lt;=Drivers!C19,"Preconstruction",IF(A38&lt;=(Drivers!C19+Drivers!C20),"Construction","Trading")))</f>
        <v>Construction</v>
      </c>
      <c r="D38" s="12">
        <f t="array" ref="D38">IF(AND(A38&gt;Drivers!C19,A38&lt;=(Drivers!C19+Drivers!C20)),SIN(PI()*(A38-Drivers!C19-0.5)/Drivers!C20)/SUMPRODUCT(SIN(PI()*(SEQUENCE(Drivers!C20,1)-0.5)/Drivers!C20)),0)</f>
        <v>0.07898992834</v>
      </c>
      <c r="E38" s="14">
        <f>(Summary!C10+Summary!C12)*D38*(1+Drivers!C21)^(A38/12)</f>
        <v>7637010.417</v>
      </c>
      <c r="F38" s="14">
        <f>IF(AND(A38&gt;0,A38&lt;=Drivers!C19),Summary!C11*Drivers!C40/Drivers!C19*(1+Drivers!C21)^(A38/12),Summary!C11*(1-Drivers!C40 )*D38*(1+Drivers!C21)^(A38/12))</f>
        <v>458876.1624</v>
      </c>
      <c r="G38" s="14">
        <f>IF(AND(A38&gt;0,A38&lt;=2),Drivers!C16/2,0)</f>
        <v>0</v>
      </c>
      <c r="H38" s="14">
        <f>IF(A38=(Drivers!C19+Drivers!C20),Drivers!C17*(1+Drivers!C21)^(A38/12),0)</f>
        <v>0</v>
      </c>
      <c r="I38" s="14">
        <f>IF(AND(A38&gt;0,A38&lt;=(Drivers!C19+Drivers!C20)),Drivers!C18*(1+Drivers!C23)^(A38/12),0)</f>
        <v>56243.2</v>
      </c>
      <c r="J38" s="14">
        <f t="shared" si="1"/>
        <v>8152129.779</v>
      </c>
      <c r="K38" s="12">
        <f>IF(A38&gt;(Drivers!C19+Drivers!C20),MIN(1,0.5+0.5*(A38-(Drivers!C19+Drivers!C20))/Drivers!C39),0)</f>
        <v>0</v>
      </c>
      <c r="L38" s="14">
        <f>Drivers!C2*(B38-B37)*Drivers!C24*(1+Drivers!C22)^(A38/12)*Drivers!C25*K38</f>
        <v>0</v>
      </c>
      <c r="M38" s="14">
        <f>L38*Drivers!C26</f>
        <v>0</v>
      </c>
      <c r="N38" s="14">
        <f>(L38+M38)*Drivers!C27</f>
        <v>0</v>
      </c>
      <c r="O38" s="14">
        <f>IF(A38&gt;(Drivers!C19+Drivers!C20),Drivers!C28/12*(1+Drivers!C23)^(A38/12),0)</f>
        <v>0</v>
      </c>
      <c r="P38" s="14">
        <f>(L38+M38)*Drivers!C29</f>
        <v>0</v>
      </c>
      <c r="Q38" s="14">
        <f>Drivers!C3*Drivers!C30*(1+Drivers!C22)^(A38/12)*Drivers!C31*(1-Drivers!C32 )*K38</f>
        <v>0</v>
      </c>
      <c r="R38" s="14">
        <f>IF(A38&gt;(Drivers!C19+Drivers!C20),Drivers!C33/12*(1+Drivers!C23)^(A38/12),0)</f>
        <v>0</v>
      </c>
      <c r="S38" s="14">
        <f t="shared" si="2"/>
        <v>0</v>
      </c>
      <c r="T38" s="14">
        <f t="shared" si="6"/>
        <v>822841.0106</v>
      </c>
      <c r="U38" s="14">
        <f>IF(AND(A38&gt;Drivers!C19,A38&lt;=(Drivers!C19+Drivers!C20)),Summary!C31*D38,0)</f>
        <v>96863.15483</v>
      </c>
      <c r="V38" s="14">
        <f>IF(A38&lt;=(Drivers!C19+Drivers!C20),(T38+U38/2)*Drivers!C36/12,T38*Drivers!C36/12)</f>
        <v>8349.695635</v>
      </c>
      <c r="W38" s="14">
        <f>IF(A38&gt;(Drivers!C19+Drivers!C20),MIN(T38,MAX(0,Summary!C32/12-V38)),0)</f>
        <v>0</v>
      </c>
      <c r="X38" s="14">
        <f>IF(A38=(Drivers!C19+1),Summary!C31*Drivers!C38,0)</f>
        <v>0</v>
      </c>
      <c r="Y38" s="14">
        <f t="shared" si="3"/>
        <v>919704.1655</v>
      </c>
      <c r="Z38" s="14">
        <f t="shared" si="4"/>
        <v>-8063616.32</v>
      </c>
      <c r="AA38" s="14">
        <f t="shared" si="7"/>
        <v>-80100788.46</v>
      </c>
      <c r="AB38" s="14">
        <f t="shared" si="5"/>
        <v>-8152129.779</v>
      </c>
      <c r="AC38" s="14">
        <f>(E38+F38+G38+H38)*Drivers!C45</f>
        <v>1214382.987</v>
      </c>
      <c r="AD38" s="14">
        <f>IF(A38&lt;=Summary!C18,AB38+IF(A38=Summary!C18,Summary!C40,0),0)</f>
        <v>-8152129.779</v>
      </c>
      <c r="AE38" s="14">
        <f>IF(A38&lt;=Summary!C18,Z38+IF(A38=Summary!C18,Summary!C40-Y38,0),0)</f>
        <v>-8063616.32</v>
      </c>
      <c r="AF38" s="14">
        <f>AD38-IF(A38=0,Drivers!C44,0)</f>
        <v>-8152129.779</v>
      </c>
      <c r="AG38" s="14">
        <f t="shared" si="8"/>
        <v>-80960669.76</v>
      </c>
    </row>
    <row r="39">
      <c r="A39" s="2">
        <v>37.0</v>
      </c>
      <c r="B39" s="15">
        <f>EDATE(Setup!B2,A39)</f>
        <v>47405</v>
      </c>
      <c r="C39" s="2" t="str">
        <f>IF(A39=0,"T0",IF(A39&lt;=Drivers!C19,"Preconstruction",IF(A39&lt;=(Drivers!C19+Drivers!C20),"Construction","Trading")))</f>
        <v>Construction</v>
      </c>
      <c r="D39" s="12">
        <f t="array" ref="D39">IF(AND(A39&gt;Drivers!C19,A39&lt;=(Drivers!C19+Drivers!C20)),SIN(PI()*(A39-Drivers!C19-0.5)/Drivers!C20)/SUMPRODUCT(SIN(PI()*(SEQUENCE(Drivers!C20,1)-0.5)/Drivers!C20)),0)</f>
        <v>0.07139380484</v>
      </c>
      <c r="E39" s="14">
        <f>(Summary!C10+Summary!C12)*D39*(1+Drivers!C21)^(A39/12)</f>
        <v>6936190.51</v>
      </c>
      <c r="F39" s="14">
        <f>IF(AND(A39&gt;0,A39&lt;=Drivers!C19),Summary!C11*Drivers!C40/Drivers!C19*(1+Drivers!C21)^(A39/12),Summary!C11*(1-Drivers!C40 )*D39*(1+Drivers!C21)^(A39/12))</f>
        <v>416766.8118</v>
      </c>
      <c r="G39" s="14">
        <f>IF(AND(A39&gt;0,A39&lt;=2),Drivers!C16/2,0)</f>
        <v>0</v>
      </c>
      <c r="H39" s="14">
        <f>IF(A39=(Drivers!C19+Drivers!C20),Drivers!C17*(1+Drivers!C21)^(A39/12),0)</f>
        <v>0</v>
      </c>
      <c r="I39" s="14">
        <f>IF(AND(A39&gt;0,A39&lt;=(Drivers!C19+Drivers!C20)),Drivers!C18*(1+Drivers!C23)^(A39/12),0)</f>
        <v>56427.3256</v>
      </c>
      <c r="J39" s="14">
        <f t="shared" si="1"/>
        <v>7409384.648</v>
      </c>
      <c r="K39" s="12">
        <f>IF(A39&gt;(Drivers!C19+Drivers!C20),MIN(1,0.5+0.5*(A39-(Drivers!C19+Drivers!C20))/Drivers!C39),0)</f>
        <v>0</v>
      </c>
      <c r="L39" s="14">
        <f>Drivers!C2*(B39-B38)*Drivers!C24*(1+Drivers!C22)^(A39/12)*Drivers!C25*K39</f>
        <v>0</v>
      </c>
      <c r="M39" s="14">
        <f>L39*Drivers!C26</f>
        <v>0</v>
      </c>
      <c r="N39" s="14">
        <f>(L39+M39)*Drivers!C27</f>
        <v>0</v>
      </c>
      <c r="O39" s="14">
        <f>IF(A39&gt;(Drivers!C19+Drivers!C20),Drivers!C28/12*(1+Drivers!C23)^(A39/12),0)</f>
        <v>0</v>
      </c>
      <c r="P39" s="14">
        <f>(L39+M39)*Drivers!C29</f>
        <v>0</v>
      </c>
      <c r="Q39" s="14">
        <f>Drivers!C3*Drivers!C30*(1+Drivers!C22)^(A39/12)*Drivers!C31*(1-Drivers!C32 )*K39</f>
        <v>0</v>
      </c>
      <c r="R39" s="14">
        <f>IF(A39&gt;(Drivers!C19+Drivers!C20),Drivers!C33/12*(1+Drivers!C23)^(A39/12),0)</f>
        <v>0</v>
      </c>
      <c r="S39" s="14">
        <f t="shared" si="2"/>
        <v>0</v>
      </c>
      <c r="T39" s="14">
        <f t="shared" si="6"/>
        <v>919704.1655</v>
      </c>
      <c r="U39" s="14">
        <f>IF(AND(A39&gt;Drivers!C19,A39&lt;=(Drivers!C19+Drivers!C20)),Summary!C31*D39,0)</f>
        <v>87548.2396</v>
      </c>
      <c r="V39" s="14">
        <f>IF(A39&lt;=(Drivers!C19+Drivers!C20),(T39+U39/2)*Drivers!C36/12,T39*Drivers!C36/12)</f>
        <v>9233.333567</v>
      </c>
      <c r="W39" s="14">
        <f>IF(A39&gt;(Drivers!C19+Drivers!C20),MIN(T39,MAX(0,Summary!C32/12-V39)),0)</f>
        <v>0</v>
      </c>
      <c r="X39" s="14">
        <f>IF(A39=(Drivers!C19+1),Summary!C31*Drivers!C38,0)</f>
        <v>0</v>
      </c>
      <c r="Y39" s="14">
        <f t="shared" si="3"/>
        <v>1007252.405</v>
      </c>
      <c r="Z39" s="14">
        <f t="shared" si="4"/>
        <v>-7331069.742</v>
      </c>
      <c r="AA39" s="14">
        <f t="shared" si="7"/>
        <v>-87431858.2</v>
      </c>
      <c r="AB39" s="14">
        <f t="shared" si="5"/>
        <v>-7409384.648</v>
      </c>
      <c r="AC39" s="14">
        <f>(E39+F39+G39+H39)*Drivers!C45</f>
        <v>1102943.598</v>
      </c>
      <c r="AD39" s="14">
        <f>IF(A39&lt;=Summary!C18,AB39+IF(A39=Summary!C18,Summary!C40,0),0)</f>
        <v>-7409384.648</v>
      </c>
      <c r="AE39" s="14">
        <f>IF(A39&lt;=Summary!C18,Z39+IF(A39=Summary!C18,Summary!C40-Y39,0),0)</f>
        <v>-7331069.742</v>
      </c>
      <c r="AF39" s="14">
        <f>AD39-IF(A39=0,Drivers!C44,0)</f>
        <v>-7409384.648</v>
      </c>
      <c r="AG39" s="14">
        <f t="shared" si="8"/>
        <v>-88370054.41</v>
      </c>
    </row>
    <row r="40">
      <c r="A40" s="2">
        <v>38.0</v>
      </c>
      <c r="B40" s="15">
        <f>EDATE(Setup!B2,A40)</f>
        <v>47436</v>
      </c>
      <c r="C40" s="2" t="str">
        <f>IF(A40=0,"T0",IF(A40&lt;=Drivers!C19,"Preconstruction",IF(A40&lt;=(Drivers!C19+Drivers!C20),"Construction","Trading")))</f>
        <v>Construction</v>
      </c>
      <c r="D40" s="12">
        <f t="array" ref="D40">IF(AND(A40&gt;Drivers!C19,A40&lt;=(Drivers!C19+Drivers!C20)),SIN(PI()*(A40-Drivers!C19-0.5)/Drivers!C20)/SUMPRODUCT(SIN(PI()*(SEQUENCE(Drivers!C20,1)-0.5)/Drivers!C20)),0)</f>
        <v>0.06162841672</v>
      </c>
      <c r="E40" s="14">
        <f>(Summary!C10+Summary!C12)*D40*(1+Drivers!C21)^(A40/12)</f>
        <v>6016588.619</v>
      </c>
      <c r="F40" s="14">
        <f>IF(AND(A40&gt;0,A40&lt;=Drivers!C19),Summary!C11*Drivers!C40/Drivers!C19*(1+Drivers!C21)^(A40/12),Summary!C11*(1-Drivers!C40 )*D40*(1+Drivers!C21)^(A40/12))</f>
        <v>361511.7625</v>
      </c>
      <c r="G40" s="14">
        <f>IF(AND(A40&gt;0,A40&lt;=2),Drivers!C16/2,0)</f>
        <v>0</v>
      </c>
      <c r="H40" s="14">
        <f>IF(A40=(Drivers!C19+Drivers!C20),Drivers!C17*(1+Drivers!C21)^(A40/12),0)</f>
        <v>0</v>
      </c>
      <c r="I40" s="14">
        <f>IF(AND(A40&gt;0,A40&lt;=(Drivers!C19+Drivers!C20)),Drivers!C18*(1+Drivers!C23)^(A40/12),0)</f>
        <v>56612.05398</v>
      </c>
      <c r="J40" s="14">
        <f t="shared" si="1"/>
        <v>6434712.436</v>
      </c>
      <c r="K40" s="12">
        <f>IF(A40&gt;(Drivers!C19+Drivers!C20),MIN(1,0.5+0.5*(A40-(Drivers!C19+Drivers!C20))/Drivers!C39),0)</f>
        <v>0</v>
      </c>
      <c r="L40" s="14">
        <f>Drivers!C2*(B40-B39)*Drivers!C24*(1+Drivers!C22)^(A40/12)*Drivers!C25*K40</f>
        <v>0</v>
      </c>
      <c r="M40" s="14">
        <f>L40*Drivers!C26</f>
        <v>0</v>
      </c>
      <c r="N40" s="14">
        <f>(L40+M40)*Drivers!C27</f>
        <v>0</v>
      </c>
      <c r="O40" s="14">
        <f>IF(A40&gt;(Drivers!C19+Drivers!C20),Drivers!C28/12*(1+Drivers!C23)^(A40/12),0)</f>
        <v>0</v>
      </c>
      <c r="P40" s="14">
        <f>(L40+M40)*Drivers!C29</f>
        <v>0</v>
      </c>
      <c r="Q40" s="14">
        <f>Drivers!C3*Drivers!C30*(1+Drivers!C22)^(A40/12)*Drivers!C31*(1-Drivers!C32 )*K40</f>
        <v>0</v>
      </c>
      <c r="R40" s="14">
        <f>IF(A40&gt;(Drivers!C19+Drivers!C20),Drivers!C33/12*(1+Drivers!C23)^(A40/12),0)</f>
        <v>0</v>
      </c>
      <c r="S40" s="14">
        <f t="shared" si="2"/>
        <v>0</v>
      </c>
      <c r="T40" s="14">
        <f t="shared" si="6"/>
        <v>1007252.405</v>
      </c>
      <c r="U40" s="14">
        <f>IF(AND(A40&gt;Drivers!C19,A40&lt;=(Drivers!C19+Drivers!C20)),Summary!C31*D40,0)</f>
        <v>75573.21542</v>
      </c>
      <c r="V40" s="14">
        <f>IF(A40&lt;=(Drivers!C19+Drivers!C20),(T40+U40/2)*Drivers!C36/12,T40*Drivers!C36/12)</f>
        <v>10014.95721</v>
      </c>
      <c r="W40" s="14">
        <f>IF(A40&gt;(Drivers!C19+Drivers!C20),MIN(T40,MAX(0,Summary!C32/12-V40)),0)</f>
        <v>0</v>
      </c>
      <c r="X40" s="14">
        <f>IF(A40=(Drivers!C19+1),Summary!C31*Drivers!C38,0)</f>
        <v>0</v>
      </c>
      <c r="Y40" s="14">
        <f t="shared" si="3"/>
        <v>1082825.62</v>
      </c>
      <c r="Z40" s="14">
        <f t="shared" si="4"/>
        <v>-6369154.177</v>
      </c>
      <c r="AA40" s="14">
        <f t="shared" si="7"/>
        <v>-93801012.38</v>
      </c>
      <c r="AB40" s="14">
        <f t="shared" si="5"/>
        <v>-6434712.436</v>
      </c>
      <c r="AC40" s="14">
        <f>(E40+F40+G40+H40)*Drivers!C45</f>
        <v>956715.0572</v>
      </c>
      <c r="AD40" s="14">
        <f>IF(A40&lt;=Summary!C18,AB40+IF(A40=Summary!C18,Summary!C40,0),0)</f>
        <v>-6434712.436</v>
      </c>
      <c r="AE40" s="14">
        <f>IF(A40&lt;=Summary!C18,Z40+IF(A40=Summary!C18,Summary!C40-Y40,0),0)</f>
        <v>-6369154.177</v>
      </c>
      <c r="AF40" s="14">
        <f>AD40-IF(A40=0,Drivers!C44,0)</f>
        <v>-6434712.436</v>
      </c>
      <c r="AG40" s="14">
        <f t="shared" si="8"/>
        <v>-94804766.84</v>
      </c>
    </row>
    <row r="41">
      <c r="A41" s="2">
        <v>39.0</v>
      </c>
      <c r="B41" s="15">
        <f>EDATE(Setup!B2,A41)</f>
        <v>47466</v>
      </c>
      <c r="C41" s="2" t="str">
        <f>IF(A41=0,"T0",IF(A41&lt;=Drivers!C19,"Preconstruction",IF(A41&lt;=(Drivers!C19+Drivers!C20),"Construction","Trading")))</f>
        <v>Construction</v>
      </c>
      <c r="D41" s="12">
        <f t="array" ref="D41">IF(AND(A41&gt;Drivers!C19,A41&lt;=(Drivers!C19+Drivers!C20)),SIN(PI()*(A41-Drivers!C19-0.5)/Drivers!C20)/SUMPRODUCT(SIN(PI()*(SEQUENCE(Drivers!C20,1)-0.5)/Drivers!C20)),0)</f>
        <v>0.04999048033</v>
      </c>
      <c r="E41" s="14">
        <f>(Summary!C10+Summary!C12)*D41*(1+Drivers!C21)^(A41/12)</f>
        <v>4904169.129</v>
      </c>
      <c r="F41" s="14">
        <f>IF(AND(A41&gt;0,A41&lt;=Drivers!C19),Summary!C11*Drivers!C40/Drivers!C19*(1+Drivers!C21)^(A41/12),Summary!C11*(1-Drivers!C40 )*D41*(1+Drivers!C21)^(A41/12))</f>
        <v>294671.1064</v>
      </c>
      <c r="G41" s="14">
        <f>IF(AND(A41&gt;0,A41&lt;=2),Drivers!C16/2,0)</f>
        <v>0</v>
      </c>
      <c r="H41" s="14">
        <f>IF(A41=(Drivers!C19+Drivers!C20),Drivers!C17*(1+Drivers!C21)^(A41/12),0)</f>
        <v>0</v>
      </c>
      <c r="I41" s="14">
        <f>IF(AND(A41&gt;0,A41&lt;=(Drivers!C19+Drivers!C20)),Drivers!C18*(1+Drivers!C23)^(A41/12),0)</f>
        <v>56797.38712</v>
      </c>
      <c r="J41" s="14">
        <f t="shared" si="1"/>
        <v>5255637.622</v>
      </c>
      <c r="K41" s="12">
        <f>IF(A41&gt;(Drivers!C19+Drivers!C20),MIN(1,0.5+0.5*(A41-(Drivers!C19+Drivers!C20))/Drivers!C39),0)</f>
        <v>0</v>
      </c>
      <c r="L41" s="14">
        <f>Drivers!C2*(B41-B40)*Drivers!C24*(1+Drivers!C22)^(A41/12)*Drivers!C25*K41</f>
        <v>0</v>
      </c>
      <c r="M41" s="14">
        <f>L41*Drivers!C26</f>
        <v>0</v>
      </c>
      <c r="N41" s="14">
        <f>(L41+M41)*Drivers!C27</f>
        <v>0</v>
      </c>
      <c r="O41" s="14">
        <f>IF(A41&gt;(Drivers!C19+Drivers!C20),Drivers!C28/12*(1+Drivers!C23)^(A41/12),0)</f>
        <v>0</v>
      </c>
      <c r="P41" s="14">
        <f>(L41+M41)*Drivers!C29</f>
        <v>0</v>
      </c>
      <c r="Q41" s="14">
        <f>Drivers!C3*Drivers!C30*(1+Drivers!C22)^(A41/12)*Drivers!C31*(1-Drivers!C32 )*K41</f>
        <v>0</v>
      </c>
      <c r="R41" s="14">
        <f>IF(A41&gt;(Drivers!C19+Drivers!C20),Drivers!C33/12*(1+Drivers!C23)^(A41/12),0)</f>
        <v>0</v>
      </c>
      <c r="S41" s="14">
        <f t="shared" si="2"/>
        <v>0</v>
      </c>
      <c r="T41" s="14">
        <f t="shared" si="6"/>
        <v>1082825.62</v>
      </c>
      <c r="U41" s="14">
        <f>IF(AND(A41&gt;Drivers!C19,A41&lt;=(Drivers!C19+Drivers!C20)),Summary!C31*D41,0)</f>
        <v>61301.93733</v>
      </c>
      <c r="V41" s="14">
        <f>IF(A41&lt;=(Drivers!C19+Drivers!C20),(T41+U41/2)*Drivers!C36/12,T41*Drivers!C36/12)</f>
        <v>10670.81731</v>
      </c>
      <c r="W41" s="14">
        <f>IF(A41&gt;(Drivers!C19+Drivers!C20),MIN(T41,MAX(0,Summary!C32/12-V41)),0)</f>
        <v>0</v>
      </c>
      <c r="X41" s="14">
        <f>IF(A41=(Drivers!C19+1),Summary!C31*Drivers!C38,0)</f>
        <v>0</v>
      </c>
      <c r="Y41" s="14">
        <f t="shared" si="3"/>
        <v>1144127.558</v>
      </c>
      <c r="Z41" s="14">
        <f t="shared" si="4"/>
        <v>-5205006.502</v>
      </c>
      <c r="AA41" s="14">
        <f t="shared" si="7"/>
        <v>-99006018.88</v>
      </c>
      <c r="AB41" s="14">
        <f t="shared" si="5"/>
        <v>-5255637.622</v>
      </c>
      <c r="AC41" s="14">
        <f>(E41+F41+G41+H41)*Drivers!C45</f>
        <v>779826.0353</v>
      </c>
      <c r="AD41" s="14">
        <f>IF(A41&lt;=Summary!C18,AB41+IF(A41=Summary!C18,Summary!C40,0),0)</f>
        <v>-5255637.622</v>
      </c>
      <c r="AE41" s="14">
        <f>IF(A41&lt;=Summary!C18,Z41+IF(A41=Summary!C18,Summary!C40-Y41,0),0)</f>
        <v>-5205006.502</v>
      </c>
      <c r="AF41" s="14">
        <f>AD41-IF(A41=0,Drivers!C44,0)</f>
        <v>-5255637.622</v>
      </c>
      <c r="AG41" s="14">
        <f t="shared" si="8"/>
        <v>-100060404.5</v>
      </c>
    </row>
    <row r="42">
      <c r="A42" s="2">
        <v>40.0</v>
      </c>
      <c r="B42" s="15">
        <f>EDATE(Setup!B2,A42)</f>
        <v>47497</v>
      </c>
      <c r="C42" s="2" t="str">
        <f>IF(A42=0,"T0",IF(A42&lt;=Drivers!C19,"Preconstruction",IF(A42&lt;=(Drivers!C19+Drivers!C20),"Construction","Trading")))</f>
        <v>Construction</v>
      </c>
      <c r="D42" s="12">
        <f t="array" ref="D42">IF(AND(A42&gt;Drivers!C19,A42&lt;=(Drivers!C19+Drivers!C20)),SIN(PI()*(A42-Drivers!C19-0.5)/Drivers!C20)/SUMPRODUCT(SIN(PI()*(SEQUENCE(Drivers!C20,1)-0.5)/Drivers!C20)),0)</f>
        <v>0.0368336085</v>
      </c>
      <c r="E42" s="14">
        <f>(Summary!C10+Summary!C12)*D42*(1+Drivers!C21)^(A42/12)</f>
        <v>3631041.556</v>
      </c>
      <c r="F42" s="14">
        <f>IF(AND(A42&gt;0,A42&lt;=Drivers!C19),Summary!C11*Drivers!C40/Drivers!C19*(1+Drivers!C21)^(A42/12),Summary!C11*(1-Drivers!C40 )*D42*(1+Drivers!C21)^(A42/12))</f>
        <v>218174.1708</v>
      </c>
      <c r="G42" s="14">
        <f>IF(AND(A42&gt;0,A42&lt;=2),Drivers!C16/2,0)</f>
        <v>0</v>
      </c>
      <c r="H42" s="14">
        <f>IF(A42=(Drivers!C19+Drivers!C20),Drivers!C17*(1+Drivers!C21)^(A42/12),0)</f>
        <v>0</v>
      </c>
      <c r="I42" s="14">
        <f>IF(AND(A42&gt;0,A42&lt;=(Drivers!C19+Drivers!C20)),Drivers!C18*(1+Drivers!C23)^(A42/12),0)</f>
        <v>56983.32698</v>
      </c>
      <c r="J42" s="14">
        <f t="shared" si="1"/>
        <v>3906199.054</v>
      </c>
      <c r="K42" s="12">
        <f>IF(A42&gt;(Drivers!C19+Drivers!C20),MIN(1,0.5+0.5*(A42-(Drivers!C19+Drivers!C20))/Drivers!C39),0)</f>
        <v>0</v>
      </c>
      <c r="L42" s="14">
        <f>Drivers!C2*(B42-B41)*Drivers!C24*(1+Drivers!C22)^(A42/12)*Drivers!C25*K42</f>
        <v>0</v>
      </c>
      <c r="M42" s="14">
        <f>L42*Drivers!C26</f>
        <v>0</v>
      </c>
      <c r="N42" s="14">
        <f>(L42+M42)*Drivers!C27</f>
        <v>0</v>
      </c>
      <c r="O42" s="14">
        <f>IF(A42&gt;(Drivers!C19+Drivers!C20),Drivers!C28/12*(1+Drivers!C23)^(A42/12),0)</f>
        <v>0</v>
      </c>
      <c r="P42" s="14">
        <f>(L42+M42)*Drivers!C29</f>
        <v>0</v>
      </c>
      <c r="Q42" s="14">
        <f>Drivers!C3*Drivers!C30*(1+Drivers!C22)^(A42/12)*Drivers!C31*(1-Drivers!C32 )*K42</f>
        <v>0</v>
      </c>
      <c r="R42" s="14">
        <f>IF(A42&gt;(Drivers!C19+Drivers!C20),Drivers!C33/12*(1+Drivers!C23)^(A42/12),0)</f>
        <v>0</v>
      </c>
      <c r="S42" s="14">
        <f t="shared" si="2"/>
        <v>0</v>
      </c>
      <c r="T42" s="14">
        <f t="shared" si="6"/>
        <v>1144127.558</v>
      </c>
      <c r="U42" s="14">
        <f>IF(AND(A42&gt;Drivers!C19,A42&lt;=(Drivers!C19+Drivers!C20)),Summary!C31*D42,0)</f>
        <v>45168.03089</v>
      </c>
      <c r="V42" s="14">
        <f>IF(A42&lt;=(Drivers!C19+Drivers!C20),(T42+U42/2)*Drivers!C36/12,T42*Drivers!C36/12)</f>
        <v>11180.98591</v>
      </c>
      <c r="W42" s="14">
        <f>IF(A42&gt;(Drivers!C19+Drivers!C20),MIN(T42,MAX(0,Summary!C32/12-V42)),0)</f>
        <v>0</v>
      </c>
      <c r="X42" s="14">
        <f>IF(A42=(Drivers!C19+1),Summary!C31*Drivers!C38,0)</f>
        <v>0</v>
      </c>
      <c r="Y42" s="14">
        <f t="shared" si="3"/>
        <v>1189295.589</v>
      </c>
      <c r="Z42" s="14">
        <f t="shared" si="4"/>
        <v>-3872212.009</v>
      </c>
      <c r="AA42" s="14">
        <f t="shared" si="7"/>
        <v>-102878230.9</v>
      </c>
      <c r="AB42" s="14">
        <f t="shared" si="5"/>
        <v>-3906199.054</v>
      </c>
      <c r="AC42" s="14">
        <f>(E42+F42+G42+H42)*Drivers!C45</f>
        <v>577382.359</v>
      </c>
      <c r="AD42" s="14">
        <f>IF(A42&lt;=Summary!C18,AB42+IF(A42=Summary!C18,Summary!C40,0),0)</f>
        <v>-3906199.054</v>
      </c>
      <c r="AE42" s="14">
        <f>IF(A42&lt;=Summary!C18,Z42+IF(A42=Summary!C18,Summary!C40-Y42,0),0)</f>
        <v>-3872212.009</v>
      </c>
      <c r="AF42" s="14">
        <f>AD42-IF(A42=0,Drivers!C44,0)</f>
        <v>-3906199.054</v>
      </c>
      <c r="AG42" s="14">
        <f t="shared" si="8"/>
        <v>-103966603.5</v>
      </c>
    </row>
    <row r="43">
      <c r="A43" s="2">
        <v>41.0</v>
      </c>
      <c r="B43" s="15">
        <f>EDATE(Setup!B2,A43)</f>
        <v>47528</v>
      </c>
      <c r="C43" s="2" t="str">
        <f>IF(A43=0,"T0",IF(A43&lt;=Drivers!C19,"Preconstruction",IF(A43&lt;=(Drivers!C19+Drivers!C20),"Construction","Trading")))</f>
        <v>Construction</v>
      </c>
      <c r="D43" s="12">
        <f t="array" ref="D43">IF(AND(A43&gt;Drivers!C19,A43&lt;=(Drivers!C19+Drivers!C20)),SIN(PI()*(A43-Drivers!C19-0.5)/Drivers!C20)/SUMPRODUCT(SIN(PI()*(SEQUENCE(Drivers!C20,1)-0.5)/Drivers!C20)),0)</f>
        <v>0.02255756611</v>
      </c>
      <c r="E43" s="14">
        <f>(Summary!C10+Summary!C12)*D43*(1+Drivers!C21)^(A43/12)</f>
        <v>2234539.379</v>
      </c>
      <c r="F43" s="14">
        <f>IF(AND(A43&gt;0,A43&lt;=Drivers!C19),Summary!C11*Drivers!C40/Drivers!C19*(1+Drivers!C21)^(A43/12),Summary!C11*(1-Drivers!C40 )*D43*(1+Drivers!C21)^(A43/12))</f>
        <v>134264.1687</v>
      </c>
      <c r="G43" s="14">
        <f>IF(AND(A43&gt;0,A43&lt;=2),Drivers!C16/2,0)</f>
        <v>0</v>
      </c>
      <c r="H43" s="14">
        <f>IF(A43=(Drivers!C19+Drivers!C20),Drivers!C17*(1+Drivers!C21)^(A43/12),0)</f>
        <v>0</v>
      </c>
      <c r="I43" s="14">
        <f>IF(AND(A43&gt;0,A43&lt;=(Drivers!C19+Drivers!C20)),Drivers!C18*(1+Drivers!C23)^(A43/12),0)</f>
        <v>57169.87557</v>
      </c>
      <c r="J43" s="14">
        <f t="shared" si="1"/>
        <v>2425973.423</v>
      </c>
      <c r="K43" s="12">
        <f>IF(A43&gt;(Drivers!C19+Drivers!C20),MIN(1,0.5+0.5*(A43-(Drivers!C19+Drivers!C20))/Drivers!C39),0)</f>
        <v>0</v>
      </c>
      <c r="L43" s="14">
        <f>Drivers!C2*(B43-B42)*Drivers!C24*(1+Drivers!C22)^(A43/12)*Drivers!C25*K43</f>
        <v>0</v>
      </c>
      <c r="M43" s="14">
        <f>L43*Drivers!C26</f>
        <v>0</v>
      </c>
      <c r="N43" s="14">
        <f>(L43+M43)*Drivers!C27</f>
        <v>0</v>
      </c>
      <c r="O43" s="14">
        <f>IF(A43&gt;(Drivers!C19+Drivers!C20),Drivers!C28/12*(1+Drivers!C23)^(A43/12),0)</f>
        <v>0</v>
      </c>
      <c r="P43" s="14">
        <f>(L43+M43)*Drivers!C29</f>
        <v>0</v>
      </c>
      <c r="Q43" s="14">
        <f>Drivers!C3*Drivers!C30*(1+Drivers!C22)^(A43/12)*Drivers!C31*(1-Drivers!C32 )*K43</f>
        <v>0</v>
      </c>
      <c r="R43" s="14">
        <f>IF(A43&gt;(Drivers!C19+Drivers!C20),Drivers!C33/12*(1+Drivers!C23)^(A43/12),0)</f>
        <v>0</v>
      </c>
      <c r="S43" s="14">
        <f t="shared" si="2"/>
        <v>0</v>
      </c>
      <c r="T43" s="14">
        <f t="shared" si="6"/>
        <v>1189295.589</v>
      </c>
      <c r="U43" s="14">
        <f>IF(AND(A43&gt;Drivers!C19,A43&lt;=(Drivers!C19+Drivers!C20)),Summary!C31*D43,0)</f>
        <v>27661.71669</v>
      </c>
      <c r="V43" s="14">
        <f>IF(A43&lt;=(Drivers!C19+Drivers!C20),(T43+U43/2)*Drivers!C36/12,T43*Drivers!C36/12)</f>
        <v>11529.96178</v>
      </c>
      <c r="W43" s="14">
        <f>IF(A43&gt;(Drivers!C19+Drivers!C20),MIN(T43,MAX(0,Summary!C32/12-V43)),0)</f>
        <v>0</v>
      </c>
      <c r="X43" s="14">
        <f>IF(A43=(Drivers!C19+1),Summary!C31*Drivers!C38,0)</f>
        <v>0</v>
      </c>
      <c r="Y43" s="14">
        <f t="shared" si="3"/>
        <v>1216957.305</v>
      </c>
      <c r="Z43" s="14">
        <f t="shared" si="4"/>
        <v>-2409841.668</v>
      </c>
      <c r="AA43" s="14">
        <f t="shared" si="7"/>
        <v>-105288072.6</v>
      </c>
      <c r="AB43" s="14">
        <f t="shared" si="5"/>
        <v>-2425973.423</v>
      </c>
      <c r="AC43" s="14">
        <f>(E43+F43+G43+H43)*Drivers!C45</f>
        <v>355320.5322</v>
      </c>
      <c r="AD43" s="14">
        <f>IF(A43&lt;=Summary!C18,AB43+IF(A43=Summary!C18,Summary!C40,0),0)</f>
        <v>-2425973.423</v>
      </c>
      <c r="AE43" s="14">
        <f>IF(A43&lt;=Summary!C18,Z43+IF(A43=Summary!C18,Summary!C40-Y43,0),0)</f>
        <v>-2409841.668</v>
      </c>
      <c r="AF43" s="14">
        <f>AD43-IF(A43=0,Drivers!C44,0)</f>
        <v>-2425973.423</v>
      </c>
      <c r="AG43" s="14">
        <f t="shared" si="8"/>
        <v>-106392576.9</v>
      </c>
    </row>
    <row r="44">
      <c r="A44" s="2">
        <v>42.0</v>
      </c>
      <c r="B44" s="15">
        <f>EDATE(Setup!B2,A44)</f>
        <v>47556</v>
      </c>
      <c r="C44" s="2" t="str">
        <f>IF(A44=0,"T0",IF(A44&lt;=Drivers!C19,"Preconstruction",IF(A44&lt;=(Drivers!C19+Drivers!C20),"Construction","Trading")))</f>
        <v>Construction</v>
      </c>
      <c r="D44" s="12">
        <f t="array" ref="D44">IF(AND(A44&gt;Drivers!C19,A44&lt;=(Drivers!C19+Drivers!C20)),SIN(PI()*(A44-Drivers!C19-0.5)/Drivers!C20)/SUMPRODUCT(SIN(PI()*(SEQUENCE(Drivers!C20,1)-0.5)/Drivers!C20)),0)</f>
        <v>0.007596123494</v>
      </c>
      <c r="E44" s="14">
        <f>(Summary!C10+Summary!C12)*D44*(1+Drivers!C21)^(A44/12)</f>
        <v>756130.2491</v>
      </c>
      <c r="F44" s="14">
        <f>IF(AND(A44&gt;0,A44&lt;=Drivers!C19),Summary!C11*Drivers!C40/Drivers!C19*(1+Drivers!C21)^(A44/12),Summary!C11*(1-Drivers!C40 )*D44*(1+Drivers!C21)^(A44/12))</f>
        <v>45432.71883</v>
      </c>
      <c r="G44" s="14">
        <f>IF(AND(A44&gt;0,A44&lt;=2),Drivers!C16/2,0)</f>
        <v>0</v>
      </c>
      <c r="H44" s="14">
        <f>IF(A44=(Drivers!C19+Drivers!C20),Drivers!C17*(1+Drivers!C21)^(A44/12),0)</f>
        <v>2452452.046</v>
      </c>
      <c r="I44" s="14">
        <f>IF(AND(A44&gt;0,A44&lt;=(Drivers!C19+Drivers!C20)),Drivers!C18*(1+Drivers!C23)^(A44/12),0)</f>
        <v>57357.03486</v>
      </c>
      <c r="J44" s="14">
        <f t="shared" si="1"/>
        <v>3311372.048</v>
      </c>
      <c r="K44" s="12">
        <f>IF(A44&gt;(Drivers!C19+Drivers!C20),MIN(1,0.5+0.5*(A44-(Drivers!C19+Drivers!C20))/Drivers!C39),0)</f>
        <v>0</v>
      </c>
      <c r="L44" s="14">
        <f>Drivers!C2*(B44-B43)*Drivers!C24*(1+Drivers!C22)^(A44/12)*Drivers!C25*K44</f>
        <v>0</v>
      </c>
      <c r="M44" s="14">
        <f>L44*Drivers!C26</f>
        <v>0</v>
      </c>
      <c r="N44" s="14">
        <f>(L44+M44)*Drivers!C27</f>
        <v>0</v>
      </c>
      <c r="O44" s="14">
        <f>IF(A44&gt;(Drivers!C19+Drivers!C20),Drivers!C28/12*(1+Drivers!C23)^(A44/12),0)</f>
        <v>0</v>
      </c>
      <c r="P44" s="14">
        <f>(L44+M44)*Drivers!C29</f>
        <v>0</v>
      </c>
      <c r="Q44" s="14">
        <f>Drivers!C3*Drivers!C30*(1+Drivers!C22)^(A44/12)*Drivers!C31*(1-Drivers!C32 )*K44</f>
        <v>0</v>
      </c>
      <c r="R44" s="14">
        <f>IF(A44&gt;(Drivers!C19+Drivers!C20),Drivers!C33/12*(1+Drivers!C23)^(A44/12),0)</f>
        <v>0</v>
      </c>
      <c r="S44" s="14">
        <f t="shared" si="2"/>
        <v>0</v>
      </c>
      <c r="T44" s="14">
        <f t="shared" si="6"/>
        <v>1216957.305</v>
      </c>
      <c r="U44" s="14">
        <f>IF(AND(A44&gt;Drivers!C19,A44&lt;=(Drivers!C19+Drivers!C20)),Summary!C31*D44,0)</f>
        <v>9314.915225</v>
      </c>
      <c r="V44" s="14">
        <f>IF(A44&lt;=(Drivers!C19+Drivers!C20),(T44+U44/2)*Drivers!C36/12,T44*Drivers!C36/12)</f>
        <v>11707.14148</v>
      </c>
      <c r="W44" s="14">
        <f>IF(A44&gt;(Drivers!C19+Drivers!C20),MIN(T44,MAX(0,Summary!C32/12-V44)),0)</f>
        <v>0</v>
      </c>
      <c r="X44" s="14">
        <f>IF(A44=(Drivers!C19+1),Summary!C31*Drivers!C38,0)</f>
        <v>0</v>
      </c>
      <c r="Y44" s="14">
        <f t="shared" si="3"/>
        <v>1226272.221</v>
      </c>
      <c r="Z44" s="14">
        <f t="shared" si="4"/>
        <v>-3313764.275</v>
      </c>
      <c r="AA44" s="14">
        <f t="shared" si="7"/>
        <v>-108601836.8</v>
      </c>
      <c r="AB44" s="14">
        <f t="shared" si="5"/>
        <v>-3311372.048</v>
      </c>
      <c r="AC44" s="14">
        <f>(E44+F44+G44+H44)*Drivers!C45</f>
        <v>488102.252</v>
      </c>
      <c r="AD44" s="14">
        <f>IF(A44&lt;=Summary!C18,AB44+IF(A44=Summary!C18,Summary!C40,0),0)</f>
        <v>-3311372.048</v>
      </c>
      <c r="AE44" s="14">
        <f>IF(A44&lt;=Summary!C18,Z44+IF(A44=Summary!C18,Summary!C40-Y44,0),0)</f>
        <v>-3313764.275</v>
      </c>
      <c r="AF44" s="14">
        <f>AD44-IF(A44=0,Drivers!C44,0)</f>
        <v>-3311372.048</v>
      </c>
      <c r="AG44" s="14">
        <f t="shared" si="8"/>
        <v>-109703949</v>
      </c>
    </row>
    <row r="45">
      <c r="A45" s="2">
        <v>43.0</v>
      </c>
      <c r="B45" s="15">
        <f>EDATE(Setup!B2,A45)</f>
        <v>47587</v>
      </c>
      <c r="C45" s="2" t="str">
        <f>IF(A45=0,"T0",IF(A45&lt;=Drivers!C19,"Preconstruction",IF(A45&lt;=(Drivers!C19+Drivers!C20),"Construction","Trading")))</f>
        <v>Trading</v>
      </c>
      <c r="D45" s="12">
        <f t="array" ref="D45">IF(AND(A45&gt;Drivers!C19,A45&lt;=(Drivers!C19+Drivers!C20)),SIN(PI()*(A45-Drivers!C19-0.5)/Drivers!C20)/SUMPRODUCT(SIN(PI()*(SEQUENCE(Drivers!C20,1)-0.5)/Drivers!C20)),0)</f>
        <v>0</v>
      </c>
      <c r="E45" s="14">
        <f>(Summary!C10+Summary!C12)*D45*(1+Drivers!C21)^(A45/12)</f>
        <v>0</v>
      </c>
      <c r="F45" s="14">
        <f>IF(AND(A45&gt;0,A45&lt;=Drivers!C19),Summary!C11*Drivers!C40/Drivers!C19*(1+Drivers!C21)^(A45/12),Summary!C11*(1-Drivers!C40 )*D45*(1+Drivers!C21)^(A45/12))</f>
        <v>0</v>
      </c>
      <c r="G45" s="14">
        <f>IF(AND(A45&gt;0,A45&lt;=2),Drivers!C16/2,0)</f>
        <v>0</v>
      </c>
      <c r="H45" s="14">
        <f>IF(A45=(Drivers!C19+Drivers!C20),Drivers!C17*(1+Drivers!C21)^(A45/12),0)</f>
        <v>0</v>
      </c>
      <c r="I45" s="14">
        <f>IF(AND(A45&gt;0,A45&lt;=(Drivers!C19+Drivers!C20)),Drivers!C18*(1+Drivers!C23)^(A45/12),0)</f>
        <v>0</v>
      </c>
      <c r="J45" s="14">
        <f t="shared" si="1"/>
        <v>0</v>
      </c>
      <c r="K45" s="12">
        <f>IF(A45&gt;(Drivers!C19+Drivers!C20),MIN(1,0.5+0.5*(A45-(Drivers!C19+Drivers!C20))/Drivers!C39),0)</f>
        <v>0.5416666667</v>
      </c>
      <c r="L45" s="14">
        <f>Drivers!C2*(B45-B44)*Drivers!C24*(1+Drivers!C22)^(A45/12)*Drivers!C25*K45</f>
        <v>313072.5218</v>
      </c>
      <c r="M45" s="14">
        <f>L45*Drivers!C26</f>
        <v>62614.50435</v>
      </c>
      <c r="N45" s="14">
        <f>(L45+M45)*Drivers!C27</f>
        <v>131490.4591</v>
      </c>
      <c r="O45" s="14">
        <f>IF(A45&gt;(Drivers!C19+Drivers!C20),Drivers!C28/12*(1+Drivers!C23)^(A45/12),0)</f>
        <v>383632.0458</v>
      </c>
      <c r="P45" s="14">
        <f>(L45+M45)*Drivers!C29</f>
        <v>15027.48104</v>
      </c>
      <c r="Q45" s="14">
        <f>Drivers!C3*Drivers!C30*(1+Drivers!C22)^(A45/12)*Drivers!C31*(1-Drivers!C32 )*K45</f>
        <v>23845.12935</v>
      </c>
      <c r="R45" s="14">
        <f>IF(A45&gt;(Drivers!C19+Drivers!C20),Drivers!C33/12*(1+Drivers!C23)^(A45/12),0)</f>
        <v>57544.80687</v>
      </c>
      <c r="S45" s="14">
        <f t="shared" si="2"/>
        <v>-188162.6374</v>
      </c>
      <c r="T45" s="14">
        <f t="shared" si="6"/>
        <v>1226272.221</v>
      </c>
      <c r="U45" s="14">
        <f>IF(AND(A45&gt;Drivers!C19,A45&lt;=(Drivers!C19+Drivers!C20)),Summary!C31*D45,0)</f>
        <v>0</v>
      </c>
      <c r="V45" s="14">
        <f>IF(A45&lt;=(Drivers!C19+Drivers!C20),(T45+U45/2)*Drivers!C36/12,T45*Drivers!C36/12)</f>
        <v>11751.77545</v>
      </c>
      <c r="W45" s="14">
        <f>IF(A45&gt;(Drivers!C19+Drivers!C20),MIN(T45,MAX(0,Summary!C32/12-V45)),0)</f>
        <v>2573.411675</v>
      </c>
      <c r="X45" s="14">
        <f>IF(A45=(Drivers!C19+1),Summary!C31*Drivers!C38,0)</f>
        <v>0</v>
      </c>
      <c r="Y45" s="14">
        <f t="shared" si="3"/>
        <v>1223698.809</v>
      </c>
      <c r="Z45" s="14">
        <f t="shared" si="4"/>
        <v>-202487.8245</v>
      </c>
      <c r="AA45" s="14">
        <f t="shared" si="7"/>
        <v>-108804324.7</v>
      </c>
      <c r="AB45" s="14">
        <f t="shared" si="5"/>
        <v>-188162.6374</v>
      </c>
      <c r="AC45" s="14">
        <f>(E45+F45+G45+H45)*Drivers!C45</f>
        <v>0</v>
      </c>
      <c r="AD45" s="14">
        <f>IF(A45&lt;=Summary!C18,AB45+IF(A45=Summary!C18,Summary!C40,0),0)</f>
        <v>-188162.6374</v>
      </c>
      <c r="AE45" s="14">
        <f>IF(A45&lt;=Summary!C18,Z45+IF(A45=Summary!C18,Summary!C40-Y45,0),0)</f>
        <v>-202487.8245</v>
      </c>
      <c r="AF45" s="14">
        <f>AD45-IF(A45=0,Drivers!C44,0)</f>
        <v>-188162.6374</v>
      </c>
      <c r="AG45" s="14">
        <f t="shared" si="8"/>
        <v>-109892111.6</v>
      </c>
    </row>
    <row r="46">
      <c r="A46" s="2">
        <v>44.0</v>
      </c>
      <c r="B46" s="15">
        <f>EDATE(Setup!B2,A46)</f>
        <v>47617</v>
      </c>
      <c r="C46" s="2" t="str">
        <f>IF(A46=0,"T0",IF(A46&lt;=Drivers!C19,"Preconstruction",IF(A46&lt;=(Drivers!C19+Drivers!C20),"Construction","Trading")))</f>
        <v>Trading</v>
      </c>
      <c r="D46" s="12">
        <f t="array" ref="D46">IF(AND(A46&gt;Drivers!C19,A46&lt;=(Drivers!C19+Drivers!C20)),SIN(PI()*(A46-Drivers!C19-0.5)/Drivers!C20)/SUMPRODUCT(SIN(PI()*(SEQUENCE(Drivers!C20,1)-0.5)/Drivers!C20)),0)</f>
        <v>0</v>
      </c>
      <c r="E46" s="14">
        <f>(Summary!C10+Summary!C12)*D46*(1+Drivers!C21)^(A46/12)</f>
        <v>0</v>
      </c>
      <c r="F46" s="14">
        <f>IF(AND(A46&gt;0,A46&lt;=Drivers!C19),Summary!C11*Drivers!C40/Drivers!C19*(1+Drivers!C21)^(A46/12),Summary!C11*(1-Drivers!C40 )*D46*(1+Drivers!C21)^(A46/12))</f>
        <v>0</v>
      </c>
      <c r="G46" s="14">
        <f>IF(AND(A46&gt;0,A46&lt;=2),Drivers!C16/2,0)</f>
        <v>0</v>
      </c>
      <c r="H46" s="14">
        <f>IF(A46=(Drivers!C19+Drivers!C20),Drivers!C17*(1+Drivers!C21)^(A46/12),0)</f>
        <v>0</v>
      </c>
      <c r="I46" s="14">
        <f>IF(AND(A46&gt;0,A46&lt;=(Drivers!C19+Drivers!C20)),Drivers!C18*(1+Drivers!C23)^(A46/12),0)</f>
        <v>0</v>
      </c>
      <c r="J46" s="14">
        <f t="shared" si="1"/>
        <v>0</v>
      </c>
      <c r="K46" s="12">
        <f>IF(A46&gt;(Drivers!C19+Drivers!C20),MIN(1,0.5+0.5*(A46-(Drivers!C19+Drivers!C20))/Drivers!C39),0)</f>
        <v>0.5833333333</v>
      </c>
      <c r="L46" s="14">
        <f>Drivers!C2*(B46-B45)*Drivers!C24*(1+Drivers!C22)^(A46/12)*Drivers!C25*K46</f>
        <v>327347.2077</v>
      </c>
      <c r="M46" s="14">
        <f>L46*Drivers!C26</f>
        <v>65469.44153</v>
      </c>
      <c r="N46" s="14">
        <f>(L46+M46)*Drivers!C27</f>
        <v>137485.8272</v>
      </c>
      <c r="O46" s="14">
        <f>IF(A46&gt;(Drivers!C19+Drivers!C20),Drivers!C28/12*(1+Drivers!C23)^(A46/12),0)</f>
        <v>384887.9573</v>
      </c>
      <c r="P46" s="14">
        <f>(L46+M46)*Drivers!C29</f>
        <v>15712.66597</v>
      </c>
      <c r="Q46" s="14">
        <f>Drivers!C3*Drivers!C30*(1+Drivers!C22)^(A46/12)*Drivers!C31*(1-Drivers!C32 )*K46</f>
        <v>25763.43764</v>
      </c>
      <c r="R46" s="14">
        <f>IF(A46&gt;(Drivers!C19+Drivers!C20),Drivers!C33/12*(1+Drivers!C23)^(A46/12),0)</f>
        <v>57733.19359</v>
      </c>
      <c r="S46" s="14">
        <f t="shared" si="2"/>
        <v>-177239.5572</v>
      </c>
      <c r="T46" s="14">
        <f t="shared" si="6"/>
        <v>1223698.809</v>
      </c>
      <c r="U46" s="14">
        <f>IF(AND(A46&gt;Drivers!C19,A46&lt;=(Drivers!C19+Drivers!C20)),Summary!C31*D46,0)</f>
        <v>0</v>
      </c>
      <c r="V46" s="14">
        <f>IF(A46&lt;=(Drivers!C19+Drivers!C20),(T46+U46/2)*Drivers!C36/12,T46*Drivers!C36/12)</f>
        <v>11727.11359</v>
      </c>
      <c r="W46" s="14">
        <f>IF(A46&gt;(Drivers!C19+Drivers!C20),MIN(T46,MAX(0,Summary!C32/12-V46)),0)</f>
        <v>2598.073537</v>
      </c>
      <c r="X46" s="14">
        <f>IF(A46=(Drivers!C19+1),Summary!C31*Drivers!C38,0)</f>
        <v>0</v>
      </c>
      <c r="Y46" s="14">
        <f t="shared" si="3"/>
        <v>1221100.735</v>
      </c>
      <c r="Z46" s="14">
        <f t="shared" si="4"/>
        <v>-191564.7443</v>
      </c>
      <c r="AA46" s="14">
        <f t="shared" si="7"/>
        <v>-108995889.4</v>
      </c>
      <c r="AB46" s="14">
        <f t="shared" si="5"/>
        <v>-177239.5572</v>
      </c>
      <c r="AC46" s="14">
        <f>(E46+F46+G46+H46)*Drivers!C45</f>
        <v>0</v>
      </c>
      <c r="AD46" s="14">
        <f>IF(A46&lt;=Summary!C18,AB46+IF(A46=Summary!C18,Summary!C40,0),0)</f>
        <v>-177239.5572</v>
      </c>
      <c r="AE46" s="14">
        <f>IF(A46&lt;=Summary!C18,Z46+IF(A46=Summary!C18,Summary!C40-Y46,0),0)</f>
        <v>-191564.7443</v>
      </c>
      <c r="AF46" s="14">
        <f>AD46-IF(A46=0,Drivers!C44,0)</f>
        <v>-177239.5572</v>
      </c>
      <c r="AG46" s="14">
        <f t="shared" si="8"/>
        <v>-110069351.2</v>
      </c>
    </row>
    <row r="47">
      <c r="A47" s="2">
        <v>45.0</v>
      </c>
      <c r="B47" s="15">
        <f>EDATE(Setup!B2,A47)</f>
        <v>47648</v>
      </c>
      <c r="C47" s="2" t="str">
        <f>IF(A47=0,"T0",IF(A47&lt;=Drivers!C19,"Preconstruction",IF(A47&lt;=(Drivers!C19+Drivers!C20),"Construction","Trading")))</f>
        <v>Trading</v>
      </c>
      <c r="D47" s="12">
        <f t="array" ref="D47">IF(AND(A47&gt;Drivers!C19,A47&lt;=(Drivers!C19+Drivers!C20)),SIN(PI()*(A47-Drivers!C19-0.5)/Drivers!C20)/SUMPRODUCT(SIN(PI()*(SEQUENCE(Drivers!C20,1)-0.5)/Drivers!C20)),0)</f>
        <v>0</v>
      </c>
      <c r="E47" s="14">
        <f>(Summary!C10+Summary!C12)*D47*(1+Drivers!C21)^(A47/12)</f>
        <v>0</v>
      </c>
      <c r="F47" s="14">
        <f>IF(AND(A47&gt;0,A47&lt;=Drivers!C19),Summary!C11*Drivers!C40/Drivers!C19*(1+Drivers!C21)^(A47/12),Summary!C11*(1-Drivers!C40 )*D47*(1+Drivers!C21)^(A47/12))</f>
        <v>0</v>
      </c>
      <c r="G47" s="14">
        <f>IF(AND(A47&gt;0,A47&lt;=2),Drivers!C16/2,0)</f>
        <v>0</v>
      </c>
      <c r="H47" s="14">
        <f>IF(A47=(Drivers!C19+Drivers!C20),Drivers!C17*(1+Drivers!C21)^(A47/12),0)</f>
        <v>0</v>
      </c>
      <c r="I47" s="14">
        <f>IF(AND(A47&gt;0,A47&lt;=(Drivers!C19+Drivers!C20)),Drivers!C18*(1+Drivers!C23)^(A47/12),0)</f>
        <v>0</v>
      </c>
      <c r="J47" s="14">
        <f t="shared" si="1"/>
        <v>0</v>
      </c>
      <c r="K47" s="12">
        <f>IF(A47&gt;(Drivers!C19+Drivers!C20),MIN(1,0.5+0.5*(A47-(Drivers!C19+Drivers!C20))/Drivers!C39),0)</f>
        <v>0.625</v>
      </c>
      <c r="L47" s="14">
        <f>Drivers!C2*(B47-B46)*Drivers!C24*(1+Drivers!C22)^(A47/12)*Drivers!C25*K47</f>
        <v>363606.5919</v>
      </c>
      <c r="M47" s="14">
        <f>L47*Drivers!C26</f>
        <v>72721.31839</v>
      </c>
      <c r="N47" s="14">
        <f>(L47+M47)*Drivers!C27</f>
        <v>152714.7686</v>
      </c>
      <c r="O47" s="14">
        <f>IF(A47&gt;(Drivers!C19+Drivers!C20),Drivers!C28/12*(1+Drivers!C23)^(A47/12),0)</f>
        <v>386147.9803</v>
      </c>
      <c r="P47" s="14">
        <f>(L47+M47)*Drivers!C29</f>
        <v>17453.11641</v>
      </c>
      <c r="Q47" s="14">
        <f>Drivers!C3*Drivers!C30*(1+Drivers!C22)^(A47/12)*Drivers!C31*(1-Drivers!C32 )*K47</f>
        <v>27694.05046</v>
      </c>
      <c r="R47" s="14">
        <f>IF(A47&gt;(Drivers!C19+Drivers!C20),Drivers!C33/12*(1+Drivers!C23)^(A47/12),0)</f>
        <v>57922.19704</v>
      </c>
      <c r="S47" s="14">
        <f t="shared" si="2"/>
        <v>-150216.1016</v>
      </c>
      <c r="T47" s="14">
        <f t="shared" si="6"/>
        <v>1221100.735</v>
      </c>
      <c r="U47" s="14">
        <f>IF(AND(A47&gt;Drivers!C19,A47&lt;=(Drivers!C19+Drivers!C20)),Summary!C31*D47,0)</f>
        <v>0</v>
      </c>
      <c r="V47" s="14">
        <f>IF(A47&lt;=(Drivers!C19+Drivers!C20),(T47+U47/2)*Drivers!C36/12,T47*Drivers!C36/12)</f>
        <v>11702.21538</v>
      </c>
      <c r="W47" s="14">
        <f>IF(A47&gt;(Drivers!C19+Drivers!C20),MIN(T47,MAX(0,Summary!C32/12-V47)),0)</f>
        <v>2622.971742</v>
      </c>
      <c r="X47" s="14">
        <f>IF(A47=(Drivers!C19+1),Summary!C31*Drivers!C38,0)</f>
        <v>0</v>
      </c>
      <c r="Y47" s="14">
        <f t="shared" si="3"/>
        <v>1218477.764</v>
      </c>
      <c r="Z47" s="14">
        <f t="shared" si="4"/>
        <v>-164541.2887</v>
      </c>
      <c r="AA47" s="14">
        <f t="shared" si="7"/>
        <v>-109160430.7</v>
      </c>
      <c r="AB47" s="14">
        <f t="shared" si="5"/>
        <v>-150216.1016</v>
      </c>
      <c r="AC47" s="14">
        <f>(E47+F47+G47+H47)*Drivers!C45</f>
        <v>0</v>
      </c>
      <c r="AD47" s="14">
        <f>IF(A47&lt;=Summary!C18,AB47+IF(A47=Summary!C18,Summary!C40,0),0)</f>
        <v>-150216.1016</v>
      </c>
      <c r="AE47" s="14">
        <f>IF(A47&lt;=Summary!C18,Z47+IF(A47=Summary!C18,Summary!C40-Y47,0),0)</f>
        <v>-164541.2887</v>
      </c>
      <c r="AF47" s="14">
        <f>AD47-IF(A47=0,Drivers!C44,0)</f>
        <v>-150216.1016</v>
      </c>
      <c r="AG47" s="14">
        <f t="shared" si="8"/>
        <v>-110219567.3</v>
      </c>
    </row>
    <row r="48">
      <c r="A48" s="2">
        <v>46.0</v>
      </c>
      <c r="B48" s="15">
        <f>EDATE(Setup!B2,A48)</f>
        <v>47678</v>
      </c>
      <c r="C48" s="2" t="str">
        <f>IF(A48=0,"T0",IF(A48&lt;=Drivers!C19,"Preconstruction",IF(A48&lt;=(Drivers!C19+Drivers!C20),"Construction","Trading")))</f>
        <v>Trading</v>
      </c>
      <c r="D48" s="12">
        <f t="array" ref="D48">IF(AND(A48&gt;Drivers!C19,A48&lt;=(Drivers!C19+Drivers!C20)),SIN(PI()*(A48-Drivers!C19-0.5)/Drivers!C20)/SUMPRODUCT(SIN(PI()*(SEQUENCE(Drivers!C20,1)-0.5)/Drivers!C20)),0)</f>
        <v>0</v>
      </c>
      <c r="E48" s="14">
        <f>(Summary!C10+Summary!C12)*D48*(1+Drivers!C21)^(A48/12)</f>
        <v>0</v>
      </c>
      <c r="F48" s="14">
        <f>IF(AND(A48&gt;0,A48&lt;=Drivers!C19),Summary!C11*Drivers!C40/Drivers!C19*(1+Drivers!C21)^(A48/12),Summary!C11*(1-Drivers!C40 )*D48*(1+Drivers!C21)^(A48/12))</f>
        <v>0</v>
      </c>
      <c r="G48" s="14">
        <f>IF(AND(A48&gt;0,A48&lt;=2),Drivers!C16/2,0)</f>
        <v>0</v>
      </c>
      <c r="H48" s="14">
        <f>IF(A48=(Drivers!C19+Drivers!C20),Drivers!C17*(1+Drivers!C21)^(A48/12),0)</f>
        <v>0</v>
      </c>
      <c r="I48" s="14">
        <f>IF(AND(A48&gt;0,A48&lt;=(Drivers!C19+Drivers!C20)),Drivers!C18*(1+Drivers!C23)^(A48/12),0)</f>
        <v>0</v>
      </c>
      <c r="J48" s="14">
        <f t="shared" si="1"/>
        <v>0</v>
      </c>
      <c r="K48" s="12">
        <f>IF(A48&gt;(Drivers!C19+Drivers!C20),MIN(1,0.5+0.5*(A48-(Drivers!C19+Drivers!C20))/Drivers!C39),0)</f>
        <v>0.6666666667</v>
      </c>
      <c r="L48" s="14">
        <f>Drivers!C2*(B48-B47)*Drivers!C24*(1+Drivers!C22)^(A48/12)*Drivers!C25*K48</f>
        <v>376564.5887</v>
      </c>
      <c r="M48" s="14">
        <f>L48*Drivers!C26</f>
        <v>75312.91774</v>
      </c>
      <c r="N48" s="14">
        <f>(L48+M48)*Drivers!C27</f>
        <v>158157.1273</v>
      </c>
      <c r="O48" s="14">
        <f>IF(A48&gt;(Drivers!C19+Drivers!C20),Drivers!C28/12*(1+Drivers!C23)^(A48/12),0)</f>
        <v>387412.1283</v>
      </c>
      <c r="P48" s="14">
        <f>(L48+M48)*Drivers!C29</f>
        <v>18075.10026</v>
      </c>
      <c r="Q48" s="14">
        <f>Drivers!C3*Drivers!C30*(1+Drivers!C22)^(A48/12)*Drivers!C31*(1-Drivers!C32 )*K48</f>
        <v>29637.02781</v>
      </c>
      <c r="R48" s="14">
        <f>IF(A48&gt;(Drivers!C19+Drivers!C20),Drivers!C33/12*(1+Drivers!C23)^(A48/12),0)</f>
        <v>58111.81925</v>
      </c>
      <c r="S48" s="14">
        <f t="shared" si="2"/>
        <v>-140241.6408</v>
      </c>
      <c r="T48" s="14">
        <f t="shared" si="6"/>
        <v>1218477.764</v>
      </c>
      <c r="U48" s="14">
        <f>IF(AND(A48&gt;Drivers!C19,A48&lt;=(Drivers!C19+Drivers!C20)),Summary!C31*D48,0)</f>
        <v>0</v>
      </c>
      <c r="V48" s="14">
        <f>IF(A48&lt;=(Drivers!C19+Drivers!C20),(T48+U48/2)*Drivers!C36/12,T48*Drivers!C36/12)</f>
        <v>11677.07857</v>
      </c>
      <c r="W48" s="14">
        <f>IF(A48&gt;(Drivers!C19+Drivers!C20),MIN(T48,MAX(0,Summary!C32/12-V48)),0)</f>
        <v>2648.108555</v>
      </c>
      <c r="X48" s="14">
        <f>IF(A48=(Drivers!C19+1),Summary!C31*Drivers!C38,0)</f>
        <v>0</v>
      </c>
      <c r="Y48" s="14">
        <f t="shared" si="3"/>
        <v>1215829.655</v>
      </c>
      <c r="Z48" s="14">
        <f t="shared" si="4"/>
        <v>-154566.8279</v>
      </c>
      <c r="AA48" s="14">
        <f t="shared" si="7"/>
        <v>-109314997.5</v>
      </c>
      <c r="AB48" s="14">
        <f t="shared" si="5"/>
        <v>-140241.6408</v>
      </c>
      <c r="AC48" s="14">
        <f>(E48+F48+G48+H48)*Drivers!C45</f>
        <v>0</v>
      </c>
      <c r="AD48" s="14">
        <f>IF(A48&lt;=Summary!C18,AB48+IF(A48=Summary!C18,Summary!C40,0),0)</f>
        <v>-140241.6408</v>
      </c>
      <c r="AE48" s="14">
        <f>IF(A48&lt;=Summary!C18,Z48+IF(A48=Summary!C18,Summary!C40-Y48,0),0)</f>
        <v>-154566.8279</v>
      </c>
      <c r="AF48" s="14">
        <f>AD48-IF(A48=0,Drivers!C44,0)</f>
        <v>-140241.6408</v>
      </c>
      <c r="AG48" s="14">
        <f t="shared" si="8"/>
        <v>-110359808.9</v>
      </c>
    </row>
    <row r="49">
      <c r="A49" s="2">
        <v>47.0</v>
      </c>
      <c r="B49" s="15">
        <f>EDATE(Setup!B2,A49)</f>
        <v>47709</v>
      </c>
      <c r="C49" s="2" t="str">
        <f>IF(A49=0,"T0",IF(A49&lt;=Drivers!C19,"Preconstruction",IF(A49&lt;=(Drivers!C19+Drivers!C20),"Construction","Trading")))</f>
        <v>Trading</v>
      </c>
      <c r="D49" s="12">
        <f t="array" ref="D49">IF(AND(A49&gt;Drivers!C19,A49&lt;=(Drivers!C19+Drivers!C20)),SIN(PI()*(A49-Drivers!C19-0.5)/Drivers!C20)/SUMPRODUCT(SIN(PI()*(SEQUENCE(Drivers!C20,1)-0.5)/Drivers!C20)),0)</f>
        <v>0</v>
      </c>
      <c r="E49" s="14">
        <f>(Summary!C10+Summary!C12)*D49*(1+Drivers!C21)^(A49/12)</f>
        <v>0</v>
      </c>
      <c r="F49" s="14">
        <f>IF(AND(A49&gt;0,A49&lt;=Drivers!C19),Summary!C11*Drivers!C40/Drivers!C19*(1+Drivers!C21)^(A49/12),Summary!C11*(1-Drivers!C40 )*D49*(1+Drivers!C21)^(A49/12))</f>
        <v>0</v>
      </c>
      <c r="G49" s="14">
        <f>IF(AND(A49&gt;0,A49&lt;=2),Drivers!C16/2,0)</f>
        <v>0</v>
      </c>
      <c r="H49" s="14">
        <f>IF(A49=(Drivers!C19+Drivers!C20),Drivers!C17*(1+Drivers!C21)^(A49/12),0)</f>
        <v>0</v>
      </c>
      <c r="I49" s="14">
        <f>IF(AND(A49&gt;0,A49&lt;=(Drivers!C19+Drivers!C20)),Drivers!C18*(1+Drivers!C23)^(A49/12),0)</f>
        <v>0</v>
      </c>
      <c r="J49" s="14">
        <f t="shared" si="1"/>
        <v>0</v>
      </c>
      <c r="K49" s="12">
        <f>IF(A49&gt;(Drivers!C19+Drivers!C20),MIN(1,0.5+0.5*(A49-(Drivers!C19+Drivers!C20))/Drivers!C39),0)</f>
        <v>0.7083333333</v>
      </c>
      <c r="L49" s="14">
        <f>Drivers!C2*(B49-B48)*Drivers!C24*(1+Drivers!C22)^(A49/12)*Drivers!C25*K49</f>
        <v>414790.0217</v>
      </c>
      <c r="M49" s="14">
        <f>L49*Drivers!C26</f>
        <v>82958.00433</v>
      </c>
      <c r="N49" s="14">
        <f>(L49+M49)*Drivers!C27</f>
        <v>174211.8091</v>
      </c>
      <c r="O49" s="14">
        <f>IF(A49&gt;(Drivers!C19+Drivers!C20),Drivers!C28/12*(1+Drivers!C23)^(A49/12),0)</f>
        <v>388680.4148</v>
      </c>
      <c r="P49" s="14">
        <f>(L49+M49)*Drivers!C29</f>
        <v>19909.92104</v>
      </c>
      <c r="Q49" s="14">
        <f>Drivers!C3*Drivers!C30*(1+Drivers!C22)^(A49/12)*Drivers!C31*(1-Drivers!C32 )*K49</f>
        <v>31592.42997</v>
      </c>
      <c r="R49" s="14">
        <f>IF(A49&gt;(Drivers!C19+Drivers!C20),Drivers!C33/12*(1+Drivers!C23)^(A49/12),0)</f>
        <v>58302.06222</v>
      </c>
      <c r="S49" s="14">
        <f t="shared" si="2"/>
        <v>-111763.7512</v>
      </c>
      <c r="T49" s="14">
        <f t="shared" si="6"/>
        <v>1215829.655</v>
      </c>
      <c r="U49" s="14">
        <f>IF(AND(A49&gt;Drivers!C19,A49&lt;=(Drivers!C19+Drivers!C20)),Summary!C31*D49,0)</f>
        <v>0</v>
      </c>
      <c r="V49" s="14">
        <f>IF(A49&lt;=(Drivers!C19+Drivers!C20),(T49+U49/2)*Drivers!C36/12,T49*Drivers!C36/12)</f>
        <v>11651.70086</v>
      </c>
      <c r="W49" s="14">
        <f>IF(A49&gt;(Drivers!C19+Drivers!C20),MIN(T49,MAX(0,Summary!C32/12-V49)),0)</f>
        <v>2673.486261</v>
      </c>
      <c r="X49" s="14">
        <f>IF(A49=(Drivers!C19+1),Summary!C31*Drivers!C38,0)</f>
        <v>0</v>
      </c>
      <c r="Y49" s="14">
        <f t="shared" si="3"/>
        <v>1213156.169</v>
      </c>
      <c r="Z49" s="14">
        <f t="shared" si="4"/>
        <v>-126088.9383</v>
      </c>
      <c r="AA49" s="14">
        <f t="shared" si="7"/>
        <v>-109441086.5</v>
      </c>
      <c r="AB49" s="14">
        <f t="shared" si="5"/>
        <v>-111763.7512</v>
      </c>
      <c r="AC49" s="14">
        <f>(E49+F49+G49+H49)*Drivers!C45</f>
        <v>0</v>
      </c>
      <c r="AD49" s="14">
        <f>IF(A49&lt;=Summary!C18,AB49+IF(A49=Summary!C18,Summary!C40,0),0)</f>
        <v>-111763.7512</v>
      </c>
      <c r="AE49" s="14">
        <f>IF(A49&lt;=Summary!C18,Z49+IF(A49=Summary!C18,Summary!C40-Y49,0),0)</f>
        <v>-126088.9383</v>
      </c>
      <c r="AF49" s="14">
        <f>AD49-IF(A49=0,Drivers!C44,0)</f>
        <v>-111763.7512</v>
      </c>
      <c r="AG49" s="14">
        <f t="shared" si="8"/>
        <v>-110471572.7</v>
      </c>
    </row>
    <row r="50">
      <c r="A50" s="2">
        <v>48.0</v>
      </c>
      <c r="B50" s="15">
        <f>EDATE(Setup!B2,A50)</f>
        <v>47740</v>
      </c>
      <c r="C50" s="2" t="str">
        <f>IF(A50=0,"T0",IF(A50&lt;=Drivers!C19,"Preconstruction",IF(A50&lt;=(Drivers!C19+Drivers!C20),"Construction","Trading")))</f>
        <v>Trading</v>
      </c>
      <c r="D50" s="12">
        <f t="array" ref="D50">IF(AND(A50&gt;Drivers!C19,A50&lt;=(Drivers!C19+Drivers!C20)),SIN(PI()*(A50-Drivers!C19-0.5)/Drivers!C20)/SUMPRODUCT(SIN(PI()*(SEQUENCE(Drivers!C20,1)-0.5)/Drivers!C20)),0)</f>
        <v>0</v>
      </c>
      <c r="E50" s="14">
        <f>(Summary!C10+Summary!C12)*D50*(1+Drivers!C21)^(A50/12)</f>
        <v>0</v>
      </c>
      <c r="F50" s="14">
        <f>IF(AND(A50&gt;0,A50&lt;=Drivers!C19),Summary!C11*Drivers!C40/Drivers!C19*(1+Drivers!C21)^(A50/12),Summary!C11*(1-Drivers!C40 )*D50*(1+Drivers!C21)^(A50/12))</f>
        <v>0</v>
      </c>
      <c r="G50" s="14">
        <f>IF(AND(A50&gt;0,A50&lt;=2),Drivers!C16/2,0)</f>
        <v>0</v>
      </c>
      <c r="H50" s="14">
        <f>IF(A50=(Drivers!C19+Drivers!C20),Drivers!C17*(1+Drivers!C21)^(A50/12),0)</f>
        <v>0</v>
      </c>
      <c r="I50" s="14">
        <f>IF(AND(A50&gt;0,A50&lt;=(Drivers!C19+Drivers!C20)),Drivers!C18*(1+Drivers!C23)^(A50/12),0)</f>
        <v>0</v>
      </c>
      <c r="J50" s="14">
        <f t="shared" si="1"/>
        <v>0</v>
      </c>
      <c r="K50" s="12">
        <f>IF(A50&gt;(Drivers!C19+Drivers!C20),MIN(1,0.5+0.5*(A50-(Drivers!C19+Drivers!C20))/Drivers!C39),0)</f>
        <v>0.75</v>
      </c>
      <c r="L50" s="14">
        <f>Drivers!C2*(B50-B49)*Drivers!C24*(1+Drivers!C22)^(A50/12)*Drivers!C25*K50</f>
        <v>440627.2266</v>
      </c>
      <c r="M50" s="14">
        <f>L50*Drivers!C26</f>
        <v>88125.44532</v>
      </c>
      <c r="N50" s="14">
        <f>(L50+M50)*Drivers!C27</f>
        <v>185063.4352</v>
      </c>
      <c r="O50" s="14">
        <f>IF(A50&gt;(Drivers!C19+Drivers!C20),Drivers!C28/12*(1+Drivers!C23)^(A50/12),0)</f>
        <v>389952.8533</v>
      </c>
      <c r="P50" s="14">
        <f>(L50+M50)*Drivers!C29</f>
        <v>21150.10688</v>
      </c>
      <c r="Q50" s="14">
        <f>Drivers!C3*Drivers!C30*(1+Drivers!C22)^(A50/12)*Drivers!C31*(1-Drivers!C32 )*K50</f>
        <v>33560.31744</v>
      </c>
      <c r="R50" s="14">
        <f>IF(A50&gt;(Drivers!C19+Drivers!C20),Drivers!C33/12*(1+Drivers!C23)^(A50/12),0)</f>
        <v>58492.928</v>
      </c>
      <c r="S50" s="14">
        <f t="shared" si="2"/>
        <v>-92346.334</v>
      </c>
      <c r="T50" s="14">
        <f t="shared" si="6"/>
        <v>1213156.169</v>
      </c>
      <c r="U50" s="14">
        <f>IF(AND(A50&gt;Drivers!C19,A50&lt;=(Drivers!C19+Drivers!C20)),Summary!C31*D50,0)</f>
        <v>0</v>
      </c>
      <c r="V50" s="14">
        <f>IF(A50&lt;=(Drivers!C19+Drivers!C20),(T50+U50/2)*Drivers!C36/12,T50*Drivers!C36/12)</f>
        <v>11626.07995</v>
      </c>
      <c r="W50" s="14">
        <f>IF(A50&gt;(Drivers!C19+Drivers!C20),MIN(T50,MAX(0,Summary!C32/12-V50)),0)</f>
        <v>2699.107172</v>
      </c>
      <c r="X50" s="14">
        <f>IF(A50=(Drivers!C19+1),Summary!C31*Drivers!C38,0)</f>
        <v>0</v>
      </c>
      <c r="Y50" s="14">
        <f t="shared" si="3"/>
        <v>1210457.062</v>
      </c>
      <c r="Z50" s="14">
        <f t="shared" si="4"/>
        <v>-106671.5211</v>
      </c>
      <c r="AA50" s="14">
        <f t="shared" si="7"/>
        <v>-109547758</v>
      </c>
      <c r="AB50" s="14">
        <f t="shared" si="5"/>
        <v>-92346.334</v>
      </c>
      <c r="AC50" s="14">
        <f>(E50+F50+G50+H50)*Drivers!C45</f>
        <v>0</v>
      </c>
      <c r="AD50" s="14">
        <f>IF(A50&lt;=Summary!C18,AB50+IF(A50=Summary!C18,Summary!C40,0),0)</f>
        <v>-92346.334</v>
      </c>
      <c r="AE50" s="14">
        <f>IF(A50&lt;=Summary!C18,Z50+IF(A50=Summary!C18,Summary!C40-Y50,0),0)</f>
        <v>-106671.5211</v>
      </c>
      <c r="AF50" s="14">
        <f>AD50-IF(A50=0,Drivers!C44,0)</f>
        <v>-92346.334</v>
      </c>
      <c r="AG50" s="14">
        <f t="shared" si="8"/>
        <v>-110563919</v>
      </c>
    </row>
    <row r="51">
      <c r="A51" s="2">
        <v>49.0</v>
      </c>
      <c r="B51" s="15">
        <f>EDATE(Setup!B2,A51)</f>
        <v>47770</v>
      </c>
      <c r="C51" s="2" t="str">
        <f>IF(A51=0,"T0",IF(A51&lt;=Drivers!C19,"Preconstruction",IF(A51&lt;=(Drivers!C19+Drivers!C20),"Construction","Trading")))</f>
        <v>Trading</v>
      </c>
      <c r="D51" s="12">
        <f t="array" ref="D51">IF(AND(A51&gt;Drivers!C19,A51&lt;=(Drivers!C19+Drivers!C20)),SIN(PI()*(A51-Drivers!C19-0.5)/Drivers!C20)/SUMPRODUCT(SIN(PI()*(SEQUENCE(Drivers!C20,1)-0.5)/Drivers!C20)),0)</f>
        <v>0</v>
      </c>
      <c r="E51" s="14">
        <f>(Summary!C10+Summary!C12)*D51*(1+Drivers!C21)^(A51/12)</f>
        <v>0</v>
      </c>
      <c r="F51" s="14">
        <f>IF(AND(A51&gt;0,A51&lt;=Drivers!C19),Summary!C11*Drivers!C40/Drivers!C19*(1+Drivers!C21)^(A51/12),Summary!C11*(1-Drivers!C40 )*D51*(1+Drivers!C21)^(A51/12))</f>
        <v>0</v>
      </c>
      <c r="G51" s="14">
        <f>IF(AND(A51&gt;0,A51&lt;=2),Drivers!C16/2,0)</f>
        <v>0</v>
      </c>
      <c r="H51" s="14">
        <f>IF(A51=(Drivers!C19+Drivers!C20),Drivers!C17*(1+Drivers!C21)^(A51/12),0)</f>
        <v>0</v>
      </c>
      <c r="I51" s="14">
        <f>IF(AND(A51&gt;0,A51&lt;=(Drivers!C19+Drivers!C20)),Drivers!C18*(1+Drivers!C23)^(A51/12),0)</f>
        <v>0</v>
      </c>
      <c r="J51" s="14">
        <f t="shared" si="1"/>
        <v>0</v>
      </c>
      <c r="K51" s="12">
        <f>IF(A51&gt;(Drivers!C19+Drivers!C20),MIN(1,0.5+0.5*(A51-(Drivers!C19+Drivers!C20))/Drivers!C39),0)</f>
        <v>0.7916666667</v>
      </c>
      <c r="L51" s="14">
        <f>Drivers!C2*(B51-B50)*Drivers!C24*(1+Drivers!C22)^(A51/12)*Drivers!C25*K51</f>
        <v>451576.6013</v>
      </c>
      <c r="M51" s="14">
        <f>L51*Drivers!C26</f>
        <v>90315.32026</v>
      </c>
      <c r="N51" s="14">
        <f>(L51+M51)*Drivers!C27</f>
        <v>189662.1726</v>
      </c>
      <c r="O51" s="14">
        <f>IF(A51&gt;(Drivers!C19+Drivers!C20),Drivers!C28/12*(1+Drivers!C23)^(A51/12),0)</f>
        <v>391229.4575</v>
      </c>
      <c r="P51" s="14">
        <f>(L51+M51)*Drivers!C29</f>
        <v>21675.67686</v>
      </c>
      <c r="Q51" s="14">
        <f>Drivers!C3*Drivers!C30*(1+Drivers!C22)^(A51/12)*Drivers!C31*(1-Drivers!C32 )*K51</f>
        <v>35540.75103</v>
      </c>
      <c r="R51" s="14">
        <f>IF(A51&gt;(Drivers!C19+Drivers!C20),Drivers!C33/12*(1+Drivers!C23)^(A51/12),0)</f>
        <v>58684.41863</v>
      </c>
      <c r="S51" s="14">
        <f t="shared" si="2"/>
        <v>-83819.05293</v>
      </c>
      <c r="T51" s="14">
        <f t="shared" si="6"/>
        <v>1210457.062</v>
      </c>
      <c r="U51" s="14">
        <f>IF(AND(A51&gt;Drivers!C19,A51&lt;=(Drivers!C19+Drivers!C20)),Summary!C31*D51,0)</f>
        <v>0</v>
      </c>
      <c r="V51" s="14">
        <f>IF(A51&lt;=(Drivers!C19+Drivers!C20),(T51+U51/2)*Drivers!C36/12,T51*Drivers!C36/12)</f>
        <v>11600.21351</v>
      </c>
      <c r="W51" s="14">
        <f>IF(A51&gt;(Drivers!C19+Drivers!C20),MIN(T51,MAX(0,Summary!C32/12-V51)),0)</f>
        <v>2724.973615</v>
      </c>
      <c r="X51" s="14">
        <f>IF(A51=(Drivers!C19+1),Summary!C31*Drivers!C38,0)</f>
        <v>0</v>
      </c>
      <c r="Y51" s="14">
        <f t="shared" si="3"/>
        <v>1207732.088</v>
      </c>
      <c r="Z51" s="14">
        <f t="shared" si="4"/>
        <v>-98144.24005</v>
      </c>
      <c r="AA51" s="14">
        <f t="shared" si="7"/>
        <v>-109645902.2</v>
      </c>
      <c r="AB51" s="14">
        <f t="shared" si="5"/>
        <v>-83819.05293</v>
      </c>
      <c r="AC51" s="14">
        <f>(E51+F51+G51+H51)*Drivers!C45</f>
        <v>0</v>
      </c>
      <c r="AD51" s="14">
        <f>IF(A51&lt;=Summary!C18,AB51+IF(A51=Summary!C18,Summary!C40,0),0)</f>
        <v>-83819.05293</v>
      </c>
      <c r="AE51" s="14">
        <f>IF(A51&lt;=Summary!C18,Z51+IF(A51=Summary!C18,Summary!C40-Y51,0),0)</f>
        <v>-98144.24005</v>
      </c>
      <c r="AF51" s="14">
        <f>AD51-IF(A51=0,Drivers!C44,0)</f>
        <v>-83819.05293</v>
      </c>
      <c r="AG51" s="14">
        <f t="shared" si="8"/>
        <v>-110647738.1</v>
      </c>
    </row>
    <row r="52">
      <c r="A52" s="2">
        <v>50.0</v>
      </c>
      <c r="B52" s="15">
        <f>EDATE(Setup!B2,A52)</f>
        <v>47801</v>
      </c>
      <c r="C52" s="2" t="str">
        <f>IF(A52=0,"T0",IF(A52&lt;=Drivers!C19,"Preconstruction",IF(A52&lt;=(Drivers!C19+Drivers!C20),"Construction","Trading")))</f>
        <v>Trading</v>
      </c>
      <c r="D52" s="12">
        <f t="array" ref="D52">IF(AND(A52&gt;Drivers!C19,A52&lt;=(Drivers!C19+Drivers!C20)),SIN(PI()*(A52-Drivers!C19-0.5)/Drivers!C20)/SUMPRODUCT(SIN(PI()*(SEQUENCE(Drivers!C20,1)-0.5)/Drivers!C20)),0)</f>
        <v>0</v>
      </c>
      <c r="E52" s="14">
        <f>(Summary!C10+Summary!C12)*D52*(1+Drivers!C21)^(A52/12)</f>
        <v>0</v>
      </c>
      <c r="F52" s="14">
        <f>IF(AND(A52&gt;0,A52&lt;=Drivers!C19),Summary!C11*Drivers!C40/Drivers!C19*(1+Drivers!C21)^(A52/12),Summary!C11*(1-Drivers!C40 )*D52*(1+Drivers!C21)^(A52/12))</f>
        <v>0</v>
      </c>
      <c r="G52" s="14">
        <f>IF(AND(A52&gt;0,A52&lt;=2),Drivers!C16/2,0)</f>
        <v>0</v>
      </c>
      <c r="H52" s="14">
        <f>IF(A52=(Drivers!C19+Drivers!C20),Drivers!C17*(1+Drivers!C21)^(A52/12),0)</f>
        <v>0</v>
      </c>
      <c r="I52" s="14">
        <f>IF(AND(A52&gt;0,A52&lt;=(Drivers!C19+Drivers!C20)),Drivers!C18*(1+Drivers!C23)^(A52/12),0)</f>
        <v>0</v>
      </c>
      <c r="J52" s="14">
        <f t="shared" si="1"/>
        <v>0</v>
      </c>
      <c r="K52" s="12">
        <f>IF(A52&gt;(Drivers!C19+Drivers!C20),MIN(1,0.5+0.5*(A52-(Drivers!C19+Drivers!C20))/Drivers!C39),0)</f>
        <v>0.8333333333</v>
      </c>
      <c r="L52" s="14">
        <f>Drivers!C2*(B52-B51)*Drivers!C24*(1+Drivers!C22)^(A52/12)*Drivers!C25*K52</f>
        <v>492796.6075</v>
      </c>
      <c r="M52" s="14">
        <f>L52*Drivers!C26</f>
        <v>98559.3215</v>
      </c>
      <c r="N52" s="14">
        <f>(L52+M52)*Drivers!C27</f>
        <v>206974.5752</v>
      </c>
      <c r="O52" s="14">
        <f>IF(A52&gt;(Drivers!C19+Drivers!C20),Drivers!C28/12*(1+Drivers!C23)^(A52/12),0)</f>
        <v>392510.2409</v>
      </c>
      <c r="P52" s="14">
        <f>(L52+M52)*Drivers!C29</f>
        <v>23654.23716</v>
      </c>
      <c r="Q52" s="14">
        <f>Drivers!C3*Drivers!C30*(1+Drivers!C22)^(A52/12)*Drivers!C31*(1-Drivers!C32 )*K52</f>
        <v>37533.79179</v>
      </c>
      <c r="R52" s="14">
        <f>IF(A52&gt;(Drivers!C19+Drivers!C20),Drivers!C33/12*(1+Drivers!C23)^(A52/12),0)</f>
        <v>58876.53614</v>
      </c>
      <c r="S52" s="14">
        <f t="shared" si="2"/>
        <v>-53125.8686</v>
      </c>
      <c r="T52" s="14">
        <f t="shared" si="6"/>
        <v>1207732.088</v>
      </c>
      <c r="U52" s="14">
        <f>IF(AND(A52&gt;Drivers!C19,A52&lt;=(Drivers!C19+Drivers!C20)),Summary!C31*D52,0)</f>
        <v>0</v>
      </c>
      <c r="V52" s="14">
        <f>IF(A52&lt;=(Drivers!C19+Drivers!C20),(T52+U52/2)*Drivers!C36/12,T52*Drivers!C36/12)</f>
        <v>11574.09918</v>
      </c>
      <c r="W52" s="14">
        <f>IF(A52&gt;(Drivers!C19+Drivers!C20),MIN(T52,MAX(0,Summary!C32/12-V52)),0)</f>
        <v>2751.087946</v>
      </c>
      <c r="X52" s="14">
        <f>IF(A52=(Drivers!C19+1),Summary!C31*Drivers!C38,0)</f>
        <v>0</v>
      </c>
      <c r="Y52" s="14">
        <f t="shared" si="3"/>
        <v>1204981</v>
      </c>
      <c r="Z52" s="14">
        <f t="shared" si="4"/>
        <v>-67451.05572</v>
      </c>
      <c r="AA52" s="14">
        <f t="shared" si="7"/>
        <v>-109713353.3</v>
      </c>
      <c r="AB52" s="14">
        <f t="shared" si="5"/>
        <v>-53125.8686</v>
      </c>
      <c r="AC52" s="14">
        <f>(E52+F52+G52+H52)*Drivers!C45</f>
        <v>0</v>
      </c>
      <c r="AD52" s="14">
        <f>IF(A52&lt;=Summary!C18,AB52+IF(A52=Summary!C18,Summary!C40,0),0)</f>
        <v>-53125.8686</v>
      </c>
      <c r="AE52" s="14">
        <f>IF(A52&lt;=Summary!C18,Z52+IF(A52=Summary!C18,Summary!C40-Y52,0),0)</f>
        <v>-67451.05572</v>
      </c>
      <c r="AF52" s="14">
        <f>AD52-IF(A52=0,Drivers!C44,0)</f>
        <v>-53125.8686</v>
      </c>
      <c r="AG52" s="14">
        <f t="shared" si="8"/>
        <v>-110700863.9</v>
      </c>
    </row>
    <row r="53">
      <c r="A53" s="2">
        <v>51.0</v>
      </c>
      <c r="B53" s="15">
        <f>EDATE(Setup!B2,A53)</f>
        <v>47831</v>
      </c>
      <c r="C53" s="2" t="str">
        <f>IF(A53=0,"T0",IF(A53&lt;=Drivers!C19,"Preconstruction",IF(A53&lt;=(Drivers!C19+Drivers!C20),"Construction","Trading")))</f>
        <v>Trading</v>
      </c>
      <c r="D53" s="12">
        <f t="array" ref="D53">IF(AND(A53&gt;Drivers!C19,A53&lt;=(Drivers!C19+Drivers!C20)),SIN(PI()*(A53-Drivers!C19-0.5)/Drivers!C20)/SUMPRODUCT(SIN(PI()*(SEQUENCE(Drivers!C20,1)-0.5)/Drivers!C20)),0)</f>
        <v>0</v>
      </c>
      <c r="E53" s="14">
        <f>(Summary!C10+Summary!C12)*D53*(1+Drivers!C21)^(A53/12)</f>
        <v>0</v>
      </c>
      <c r="F53" s="14">
        <f>IF(AND(A53&gt;0,A53&lt;=Drivers!C19),Summary!C11*Drivers!C40/Drivers!C19*(1+Drivers!C21)^(A53/12),Summary!C11*(1-Drivers!C40 )*D53*(1+Drivers!C21)^(A53/12))</f>
        <v>0</v>
      </c>
      <c r="G53" s="14">
        <f>IF(AND(A53&gt;0,A53&lt;=2),Drivers!C16/2,0)</f>
        <v>0</v>
      </c>
      <c r="H53" s="14">
        <f>IF(A53=(Drivers!C19+Drivers!C20),Drivers!C17*(1+Drivers!C21)^(A53/12),0)</f>
        <v>0</v>
      </c>
      <c r="I53" s="14">
        <f>IF(AND(A53&gt;0,A53&lt;=(Drivers!C19+Drivers!C20)),Drivers!C18*(1+Drivers!C23)^(A53/12),0)</f>
        <v>0</v>
      </c>
      <c r="J53" s="14">
        <f t="shared" si="1"/>
        <v>0</v>
      </c>
      <c r="K53" s="12">
        <f>IF(A53&gt;(Drivers!C19+Drivers!C20),MIN(1,0.5+0.5*(A53-(Drivers!C19+Drivers!C20))/Drivers!C39),0)</f>
        <v>0.875</v>
      </c>
      <c r="L53" s="14">
        <f>Drivers!C2*(B53-B52)*Drivers!C24*(1+Drivers!C22)^(A53/12)*Drivers!C25*K53</f>
        <v>502384.2485</v>
      </c>
      <c r="M53" s="14">
        <f>L53*Drivers!C26</f>
        <v>100476.8497</v>
      </c>
      <c r="N53" s="14">
        <f>(L53+M53)*Drivers!C27</f>
        <v>211001.3844</v>
      </c>
      <c r="O53" s="14">
        <f>IF(A53&gt;(Drivers!C19+Drivers!C20),Drivers!C28/12*(1+Drivers!C23)^(A53/12),0)</f>
        <v>393795.2173</v>
      </c>
      <c r="P53" s="14">
        <f>(L53+M53)*Drivers!C29</f>
        <v>24114.44393</v>
      </c>
      <c r="Q53" s="14">
        <f>Drivers!C3*Drivers!C30*(1+Drivers!C22)^(A53/12)*Drivers!C31*(1-Drivers!C32 )*K53</f>
        <v>39539.50104</v>
      </c>
      <c r="R53" s="14">
        <f>IF(A53&gt;(Drivers!C19+Drivers!C20),Drivers!C33/12*(1+Drivers!C23)^(A53/12),0)</f>
        <v>59069.2826</v>
      </c>
      <c r="S53" s="14">
        <f t="shared" si="2"/>
        <v>-45579.72898</v>
      </c>
      <c r="T53" s="14">
        <f t="shared" si="6"/>
        <v>1204981</v>
      </c>
      <c r="U53" s="14">
        <f>IF(AND(A53&gt;Drivers!C19,A53&lt;=(Drivers!C19+Drivers!C20)),Summary!C31*D53,0)</f>
        <v>0</v>
      </c>
      <c r="V53" s="14">
        <f>IF(A53&lt;=(Drivers!C19+Drivers!C20),(T53+U53/2)*Drivers!C36/12,T53*Drivers!C36/12)</f>
        <v>11547.73458</v>
      </c>
      <c r="W53" s="14">
        <f>IF(A53&gt;(Drivers!C19+Drivers!C20),MIN(T53,MAX(0,Summary!C32/12-V53)),0)</f>
        <v>2777.452539</v>
      </c>
      <c r="X53" s="14">
        <f>IF(A53=(Drivers!C19+1),Summary!C31*Drivers!C38,0)</f>
        <v>0</v>
      </c>
      <c r="Y53" s="14">
        <f t="shared" si="3"/>
        <v>1202203.548</v>
      </c>
      <c r="Z53" s="14">
        <f t="shared" si="4"/>
        <v>-59904.9161</v>
      </c>
      <c r="AA53" s="14">
        <f t="shared" si="7"/>
        <v>-109773258.2</v>
      </c>
      <c r="AB53" s="14">
        <f t="shared" si="5"/>
        <v>-45579.72898</v>
      </c>
      <c r="AC53" s="14">
        <f>(E53+F53+G53+H53)*Drivers!C45</f>
        <v>0</v>
      </c>
      <c r="AD53" s="14">
        <f>IF(A53&lt;=Summary!C18,AB53+IF(A53=Summary!C18,Summary!C40,0),0)</f>
        <v>-45579.72898</v>
      </c>
      <c r="AE53" s="14">
        <f>IF(A53&lt;=Summary!C18,Z53+IF(A53=Summary!C18,Summary!C40-Y53,0),0)</f>
        <v>-59904.9161</v>
      </c>
      <c r="AF53" s="14">
        <f>AD53-IF(A53=0,Drivers!C44,0)</f>
        <v>-45579.72898</v>
      </c>
      <c r="AG53" s="14">
        <f t="shared" si="8"/>
        <v>-110746443.7</v>
      </c>
    </row>
    <row r="54">
      <c r="A54" s="2">
        <v>52.0</v>
      </c>
      <c r="B54" s="15">
        <f>EDATE(Setup!B2,A54)</f>
        <v>47862</v>
      </c>
      <c r="C54" s="2" t="str">
        <f>IF(A54=0,"T0",IF(A54&lt;=Drivers!C19,"Preconstruction",IF(A54&lt;=(Drivers!C19+Drivers!C20),"Construction","Trading")))</f>
        <v>Trading</v>
      </c>
      <c r="D54" s="12">
        <f t="array" ref="D54">IF(AND(A54&gt;Drivers!C19,A54&lt;=(Drivers!C19+Drivers!C20)),SIN(PI()*(A54-Drivers!C19-0.5)/Drivers!C20)/SUMPRODUCT(SIN(PI()*(SEQUENCE(Drivers!C20,1)-0.5)/Drivers!C20)),0)</f>
        <v>0</v>
      </c>
      <c r="E54" s="14">
        <f>(Summary!C10+Summary!C12)*D54*(1+Drivers!C21)^(A54/12)</f>
        <v>0</v>
      </c>
      <c r="F54" s="14">
        <f>IF(AND(A54&gt;0,A54&lt;=Drivers!C19),Summary!C11*Drivers!C40/Drivers!C19*(1+Drivers!C21)^(A54/12),Summary!C11*(1-Drivers!C40 )*D54*(1+Drivers!C21)^(A54/12))</f>
        <v>0</v>
      </c>
      <c r="G54" s="14">
        <f>IF(AND(A54&gt;0,A54&lt;=2),Drivers!C16/2,0)</f>
        <v>0</v>
      </c>
      <c r="H54" s="14">
        <f>IF(A54=(Drivers!C19+Drivers!C20),Drivers!C17*(1+Drivers!C21)^(A54/12),0)</f>
        <v>0</v>
      </c>
      <c r="I54" s="14">
        <f>IF(AND(A54&gt;0,A54&lt;=(Drivers!C19+Drivers!C20)),Drivers!C18*(1+Drivers!C23)^(A54/12),0)</f>
        <v>0</v>
      </c>
      <c r="J54" s="14">
        <f t="shared" si="1"/>
        <v>0</v>
      </c>
      <c r="K54" s="12">
        <f>IF(A54&gt;(Drivers!C19+Drivers!C20),MIN(1,0.5+0.5*(A54-(Drivers!C19+Drivers!C20))/Drivers!C39),0)</f>
        <v>0.9166666667</v>
      </c>
      <c r="L54" s="14">
        <f>Drivers!C2*(B54-B53)*Drivers!C24*(1+Drivers!C22)^(A54/12)*Drivers!C25*K54</f>
        <v>545631.3112</v>
      </c>
      <c r="M54" s="14">
        <f>L54*Drivers!C26</f>
        <v>109126.2622</v>
      </c>
      <c r="N54" s="14">
        <f>(L54+M54)*Drivers!C27</f>
        <v>229165.1507</v>
      </c>
      <c r="O54" s="14">
        <f>IF(A54&gt;(Drivers!C19+Drivers!C20),Drivers!C28/12*(1+Drivers!C23)^(A54/12),0)</f>
        <v>395084.4004</v>
      </c>
      <c r="P54" s="14">
        <f>(L54+M54)*Drivers!C29</f>
        <v>26190.30294</v>
      </c>
      <c r="Q54" s="14">
        <f>Drivers!C3*Drivers!C30*(1+Drivers!C22)^(A54/12)*Drivers!C31*(1-Drivers!C32 )*K54</f>
        <v>41557.94037</v>
      </c>
      <c r="R54" s="14">
        <f>IF(A54&gt;(Drivers!C19+Drivers!C20),Drivers!C33/12*(1+Drivers!C23)^(A54/12),0)</f>
        <v>59262.66006</v>
      </c>
      <c r="S54" s="14">
        <f t="shared" si="2"/>
        <v>-13387.00031</v>
      </c>
      <c r="T54" s="14">
        <f t="shared" si="6"/>
        <v>1202203.548</v>
      </c>
      <c r="U54" s="14">
        <f>IF(AND(A54&gt;Drivers!C19,A54&lt;=(Drivers!C19+Drivers!C20)),Summary!C31*D54,0)</f>
        <v>0</v>
      </c>
      <c r="V54" s="14">
        <f>IF(A54&lt;=(Drivers!C19+Drivers!C20),(T54+U54/2)*Drivers!C36/12,T54*Drivers!C36/12)</f>
        <v>11521.11733</v>
      </c>
      <c r="W54" s="14">
        <f>IF(A54&gt;(Drivers!C19+Drivers!C20),MIN(T54,MAX(0,Summary!C32/12-V54)),0)</f>
        <v>2804.069792</v>
      </c>
      <c r="X54" s="14">
        <f>IF(A54=(Drivers!C19+1),Summary!C31*Drivers!C38,0)</f>
        <v>0</v>
      </c>
      <c r="Y54" s="14">
        <f t="shared" si="3"/>
        <v>1199399.478</v>
      </c>
      <c r="Z54" s="14">
        <f t="shared" si="4"/>
        <v>-27712.18744</v>
      </c>
      <c r="AA54" s="14">
        <f t="shared" si="7"/>
        <v>-109800970.4</v>
      </c>
      <c r="AB54" s="14">
        <f t="shared" si="5"/>
        <v>-13387.00031</v>
      </c>
      <c r="AC54" s="14">
        <f>(E54+F54+G54+H54)*Drivers!C45</f>
        <v>0</v>
      </c>
      <c r="AD54" s="14">
        <f>IF(A54&lt;=Summary!C18,AB54+IF(A54=Summary!C18,Summary!C40,0),0)</f>
        <v>-13387.00031</v>
      </c>
      <c r="AE54" s="14">
        <f>IF(A54&lt;=Summary!C18,Z54+IF(A54=Summary!C18,Summary!C40-Y54,0),0)</f>
        <v>-27712.18744</v>
      </c>
      <c r="AF54" s="14">
        <f>AD54-IF(A54=0,Drivers!C44,0)</f>
        <v>-13387.00031</v>
      </c>
      <c r="AG54" s="14">
        <f t="shared" si="8"/>
        <v>-110759830.7</v>
      </c>
    </row>
    <row r="55">
      <c r="A55" s="2">
        <v>53.0</v>
      </c>
      <c r="B55" s="15">
        <f>EDATE(Setup!B2,A55)</f>
        <v>47893</v>
      </c>
      <c r="C55" s="2" t="str">
        <f>IF(A55=0,"T0",IF(A55&lt;=Drivers!C19,"Preconstruction",IF(A55&lt;=(Drivers!C19+Drivers!C20),"Construction","Trading")))</f>
        <v>Trading</v>
      </c>
      <c r="D55" s="12">
        <f t="array" ref="D55">IF(AND(A55&gt;Drivers!C19,A55&lt;=(Drivers!C19+Drivers!C20)),SIN(PI()*(A55-Drivers!C19-0.5)/Drivers!C20)/SUMPRODUCT(SIN(PI()*(SEQUENCE(Drivers!C20,1)-0.5)/Drivers!C20)),0)</f>
        <v>0</v>
      </c>
      <c r="E55" s="14">
        <f>(Summary!C10+Summary!C12)*D55*(1+Drivers!C21)^(A55/12)</f>
        <v>0</v>
      </c>
      <c r="F55" s="14">
        <f>IF(AND(A55&gt;0,A55&lt;=Drivers!C19),Summary!C11*Drivers!C40/Drivers!C19*(1+Drivers!C21)^(A55/12),Summary!C11*(1-Drivers!C40 )*D55*(1+Drivers!C21)^(A55/12))</f>
        <v>0</v>
      </c>
      <c r="G55" s="14">
        <f>IF(AND(A55&gt;0,A55&lt;=2),Drivers!C16/2,0)</f>
        <v>0</v>
      </c>
      <c r="H55" s="14">
        <f>IF(A55=(Drivers!C19+Drivers!C20),Drivers!C17*(1+Drivers!C21)^(A55/12),0)</f>
        <v>0</v>
      </c>
      <c r="I55" s="14">
        <f>IF(AND(A55&gt;0,A55&lt;=(Drivers!C19+Drivers!C20)),Drivers!C18*(1+Drivers!C23)^(A55/12),0)</f>
        <v>0</v>
      </c>
      <c r="J55" s="14">
        <f t="shared" si="1"/>
        <v>0</v>
      </c>
      <c r="K55" s="12">
        <f>IF(A55&gt;(Drivers!C19+Drivers!C20),MIN(1,0.5+0.5*(A55-(Drivers!C19+Drivers!C20))/Drivers!C39),0)</f>
        <v>0.9583333333</v>
      </c>
      <c r="L55" s="14">
        <f>Drivers!C2*(B55-B54)*Drivers!C24*(1+Drivers!C22)^(A55/12)*Drivers!C25*K55</f>
        <v>572300.1827</v>
      </c>
      <c r="M55" s="14">
        <f>L55*Drivers!C26</f>
        <v>114460.0365</v>
      </c>
      <c r="N55" s="14">
        <f>(L55+M55)*Drivers!C27</f>
        <v>240366.0768</v>
      </c>
      <c r="O55" s="14">
        <f>IF(A55&gt;(Drivers!C19+Drivers!C20),Drivers!C28/12*(1+Drivers!C23)^(A55/12),0)</f>
        <v>396377.8039</v>
      </c>
      <c r="P55" s="14">
        <f>(L55+M55)*Drivers!C29</f>
        <v>27470.40877</v>
      </c>
      <c r="Q55" s="14">
        <f>Drivers!C3*Drivers!C30*(1+Drivers!C22)^(A55/12)*Drivers!C31*(1-Drivers!C32 )*K55</f>
        <v>43589.17162</v>
      </c>
      <c r="R55" s="14">
        <f>IF(A55&gt;(Drivers!C19+Drivers!C20),Drivers!C33/12*(1+Drivers!C23)^(A55/12),0)</f>
        <v>59456.67059</v>
      </c>
      <c r="S55" s="14">
        <f t="shared" si="2"/>
        <v>6678.430886</v>
      </c>
      <c r="T55" s="14">
        <f t="shared" si="6"/>
        <v>1199399.478</v>
      </c>
      <c r="U55" s="14">
        <f>IF(AND(A55&gt;Drivers!C19,A55&lt;=(Drivers!C19+Drivers!C20)),Summary!C31*D55,0)</f>
        <v>0</v>
      </c>
      <c r="V55" s="14">
        <f>IF(A55&lt;=(Drivers!C19+Drivers!C20),(T55+U55/2)*Drivers!C36/12,T55*Drivers!C36/12)</f>
        <v>11494.245</v>
      </c>
      <c r="W55" s="14">
        <f>IF(A55&gt;(Drivers!C19+Drivers!C20),MIN(T55,MAX(0,Summary!C32/12-V55)),0)</f>
        <v>2830.942128</v>
      </c>
      <c r="X55" s="14">
        <f>IF(A55=(Drivers!C19+1),Summary!C31*Drivers!C38,0)</f>
        <v>0</v>
      </c>
      <c r="Y55" s="14">
        <f t="shared" si="3"/>
        <v>1196568.536</v>
      </c>
      <c r="Z55" s="14">
        <f t="shared" si="4"/>
        <v>-7646.756237</v>
      </c>
      <c r="AA55" s="14">
        <f t="shared" si="7"/>
        <v>-109808617.1</v>
      </c>
      <c r="AB55" s="14">
        <f t="shared" si="5"/>
        <v>6678.430886</v>
      </c>
      <c r="AC55" s="14">
        <f>(E55+F55+G55+H55)*Drivers!C45</f>
        <v>0</v>
      </c>
      <c r="AD55" s="14">
        <f>IF(A55&lt;=Summary!C18,AB55+IF(A55=Summary!C18,Summary!C40,0),0)</f>
        <v>6678.430886</v>
      </c>
      <c r="AE55" s="14">
        <f>IF(A55&lt;=Summary!C18,Z55+IF(A55=Summary!C18,Summary!C40-Y55,0),0)</f>
        <v>-7646.756237</v>
      </c>
      <c r="AF55" s="14">
        <f>AD55-IF(A55=0,Drivers!C44,0)</f>
        <v>6678.430886</v>
      </c>
      <c r="AG55" s="14">
        <f t="shared" si="8"/>
        <v>-110753152.2</v>
      </c>
    </row>
    <row r="56">
      <c r="A56" s="2">
        <v>54.0</v>
      </c>
      <c r="B56" s="15">
        <f>EDATE(Setup!B2,A56)</f>
        <v>47921</v>
      </c>
      <c r="C56" s="2" t="str">
        <f>IF(A56=0,"T0",IF(A56&lt;=Drivers!C19,"Preconstruction",IF(A56&lt;=(Drivers!C19+Drivers!C20),"Construction","Trading")))</f>
        <v>Trading</v>
      </c>
      <c r="D56" s="12">
        <f t="array" ref="D56">IF(AND(A56&gt;Drivers!C19,A56&lt;=(Drivers!C19+Drivers!C20)),SIN(PI()*(A56-Drivers!C19-0.5)/Drivers!C20)/SUMPRODUCT(SIN(PI()*(SEQUENCE(Drivers!C20,1)-0.5)/Drivers!C20)),0)</f>
        <v>0</v>
      </c>
      <c r="E56" s="14">
        <f>(Summary!C10+Summary!C12)*D56*(1+Drivers!C21)^(A56/12)</f>
        <v>0</v>
      </c>
      <c r="F56" s="14">
        <f>IF(AND(A56&gt;0,A56&lt;=Drivers!C19),Summary!C11*Drivers!C40/Drivers!C19*(1+Drivers!C21)^(A56/12),Summary!C11*(1-Drivers!C40 )*D56*(1+Drivers!C21)^(A56/12))</f>
        <v>0</v>
      </c>
      <c r="G56" s="14">
        <f>IF(AND(A56&gt;0,A56&lt;=2),Drivers!C16/2,0)</f>
        <v>0</v>
      </c>
      <c r="H56" s="14">
        <f>IF(A56=(Drivers!C19+Drivers!C20),Drivers!C17*(1+Drivers!C21)^(A56/12),0)</f>
        <v>0</v>
      </c>
      <c r="I56" s="14">
        <f>IF(AND(A56&gt;0,A56&lt;=(Drivers!C19+Drivers!C20)),Drivers!C18*(1+Drivers!C23)^(A56/12),0)</f>
        <v>0</v>
      </c>
      <c r="J56" s="14">
        <f t="shared" si="1"/>
        <v>0</v>
      </c>
      <c r="K56" s="12">
        <f>IF(A56&gt;(Drivers!C19+Drivers!C20),MIN(1,0.5+0.5*(A56-(Drivers!C19+Drivers!C20))/Drivers!C39),0)</f>
        <v>1</v>
      </c>
      <c r="L56" s="14">
        <f>Drivers!C2*(B56-B55)*Drivers!C24*(1+Drivers!C22)^(A56/12)*Drivers!C25*K56</f>
        <v>541156.7411</v>
      </c>
      <c r="M56" s="14">
        <f>L56*Drivers!C26</f>
        <v>108231.3482</v>
      </c>
      <c r="N56" s="14">
        <f>(L56+M56)*Drivers!C27</f>
        <v>227285.8313</v>
      </c>
      <c r="O56" s="14">
        <f>IF(A56&gt;(Drivers!C19+Drivers!C20),Drivers!C28/12*(1+Drivers!C23)^(A56/12),0)</f>
        <v>397675.4417</v>
      </c>
      <c r="P56" s="14">
        <f>(L56+M56)*Drivers!C29</f>
        <v>25975.52357</v>
      </c>
      <c r="Q56" s="14">
        <f>Drivers!C3*Drivers!C30*(1+Drivers!C22)^(A56/12)*Drivers!C31*(1-Drivers!C32 )*K56</f>
        <v>45633.25694</v>
      </c>
      <c r="R56" s="14">
        <f>IF(A56&gt;(Drivers!C19+Drivers!C20),Drivers!C33/12*(1+Drivers!C23)^(A56/12),0)</f>
        <v>59651.31626</v>
      </c>
      <c r="S56" s="14">
        <f t="shared" si="2"/>
        <v>-15566.76656</v>
      </c>
      <c r="T56" s="14">
        <f t="shared" si="6"/>
        <v>1196568.536</v>
      </c>
      <c r="U56" s="14">
        <f>IF(AND(A56&gt;Drivers!C19,A56&lt;=(Drivers!C19+Drivers!C20)),Summary!C31*D56,0)</f>
        <v>0</v>
      </c>
      <c r="V56" s="14">
        <f>IF(A56&lt;=(Drivers!C19+Drivers!C20),(T56+U56/2)*Drivers!C36/12,T56*Drivers!C36/12)</f>
        <v>11467.11513</v>
      </c>
      <c r="W56" s="14">
        <f>IF(A56&gt;(Drivers!C19+Drivers!C20),MIN(T56,MAX(0,Summary!C32/12-V56)),0)</f>
        <v>2858.07199</v>
      </c>
      <c r="X56" s="14">
        <f>IF(A56=(Drivers!C19+1),Summary!C31*Drivers!C38,0)</f>
        <v>0</v>
      </c>
      <c r="Y56" s="14">
        <f t="shared" si="3"/>
        <v>1193710.464</v>
      </c>
      <c r="Z56" s="14">
        <f t="shared" si="4"/>
        <v>-29891.95368</v>
      </c>
      <c r="AA56" s="14">
        <f t="shared" si="7"/>
        <v>-109838509.1</v>
      </c>
      <c r="AB56" s="14">
        <f t="shared" si="5"/>
        <v>-15566.76656</v>
      </c>
      <c r="AC56" s="14">
        <f>(E56+F56+G56+H56)*Drivers!C45</f>
        <v>0</v>
      </c>
      <c r="AD56" s="14">
        <f>IF(A56&lt;=Summary!C18,AB56+IF(A56=Summary!C18,Summary!C40,0),0)</f>
        <v>-15566.76656</v>
      </c>
      <c r="AE56" s="14">
        <f>IF(A56&lt;=Summary!C18,Z56+IF(A56=Summary!C18,Summary!C40-Y56,0),0)</f>
        <v>-29891.95368</v>
      </c>
      <c r="AF56" s="14">
        <f>AD56-IF(A56=0,Drivers!C44,0)</f>
        <v>-15566.76656</v>
      </c>
      <c r="AG56" s="14">
        <f t="shared" si="8"/>
        <v>-110768719</v>
      </c>
    </row>
    <row r="57">
      <c r="A57" s="2">
        <v>55.0</v>
      </c>
      <c r="B57" s="15">
        <f>EDATE(Setup!B2,A57)</f>
        <v>47952</v>
      </c>
      <c r="C57" s="2" t="str">
        <f>IF(A57=0,"T0",IF(A57&lt;=Drivers!C19,"Preconstruction",IF(A57&lt;=(Drivers!C19+Drivers!C20),"Construction","Trading")))</f>
        <v>Trading</v>
      </c>
      <c r="D57" s="12">
        <f t="array" ref="D57">IF(AND(A57&gt;Drivers!C19,A57&lt;=(Drivers!C19+Drivers!C20)),SIN(PI()*(A57-Drivers!C19-0.5)/Drivers!C20)/SUMPRODUCT(SIN(PI()*(SEQUENCE(Drivers!C20,1)-0.5)/Drivers!C20)),0)</f>
        <v>0</v>
      </c>
      <c r="E57" s="14">
        <f>(Summary!C10+Summary!C12)*D57*(1+Drivers!C21)^(A57/12)</f>
        <v>0</v>
      </c>
      <c r="F57" s="14">
        <f>IF(AND(A57&gt;0,A57&lt;=Drivers!C19),Summary!C11*Drivers!C40/Drivers!C19*(1+Drivers!C21)^(A57/12),Summary!C11*(1-Drivers!C40 )*D57*(1+Drivers!C21)^(A57/12))</f>
        <v>0</v>
      </c>
      <c r="G57" s="14">
        <f>IF(AND(A57&gt;0,A57&lt;=2),Drivers!C16/2,0)</f>
        <v>0</v>
      </c>
      <c r="H57" s="14">
        <f>IF(A57=(Drivers!C19+Drivers!C20),Drivers!C17*(1+Drivers!C21)^(A57/12),0)</f>
        <v>0</v>
      </c>
      <c r="I57" s="14">
        <f>IF(AND(A57&gt;0,A57&lt;=(Drivers!C19+Drivers!C20)),Drivers!C18*(1+Drivers!C23)^(A57/12),0)</f>
        <v>0</v>
      </c>
      <c r="J57" s="14">
        <f t="shared" si="1"/>
        <v>0</v>
      </c>
      <c r="K57" s="12">
        <f>IF(A57&gt;(Drivers!C19+Drivers!C20),MIN(1,0.5+0.5*(A57-(Drivers!C19+Drivers!C20))/Drivers!C39),0)</f>
        <v>1</v>
      </c>
      <c r="L57" s="14">
        <f>Drivers!C2*(B57-B56)*Drivers!C24*(1+Drivers!C22)^(A57/12)*Drivers!C25*K57</f>
        <v>601099.2418</v>
      </c>
      <c r="M57" s="14">
        <f>L57*Drivers!C26</f>
        <v>120219.8484</v>
      </c>
      <c r="N57" s="14">
        <f>(L57+M57)*Drivers!C27</f>
        <v>252461.6816</v>
      </c>
      <c r="O57" s="14">
        <f>IF(A57&gt;(Drivers!C19+Drivers!C20),Drivers!C28/12*(1+Drivers!C23)^(A57/12),0)</f>
        <v>398977.3276</v>
      </c>
      <c r="P57" s="14">
        <f>(L57+M57)*Drivers!C29</f>
        <v>28852.76361</v>
      </c>
      <c r="Q57" s="14">
        <f>Drivers!C3*Drivers!C30*(1+Drivers!C22)^(A57/12)*Drivers!C31*(1-Drivers!C32 )*K57</f>
        <v>45782.64834</v>
      </c>
      <c r="R57" s="14">
        <f>IF(A57&gt;(Drivers!C19+Drivers!C20),Drivers!C33/12*(1+Drivers!C23)^(A57/12),0)</f>
        <v>59846.59914</v>
      </c>
      <c r="S57" s="14">
        <f t="shared" si="2"/>
        <v>26963.36657</v>
      </c>
      <c r="T57" s="14">
        <f t="shared" si="6"/>
        <v>1193710.464</v>
      </c>
      <c r="U57" s="14">
        <f>IF(AND(A57&gt;Drivers!C19,A57&lt;=(Drivers!C19+Drivers!C20)),Summary!C31*D57,0)</f>
        <v>0</v>
      </c>
      <c r="V57" s="14">
        <f>IF(A57&lt;=(Drivers!C19+Drivers!C20),(T57+U57/2)*Drivers!C36/12,T57*Drivers!C36/12)</f>
        <v>11439.72528</v>
      </c>
      <c r="W57" s="14">
        <f>IF(A57&gt;(Drivers!C19+Drivers!C20),MIN(T57,MAX(0,Summary!C32/12-V57)),0)</f>
        <v>2885.461846</v>
      </c>
      <c r="X57" s="14">
        <f>IF(A57=(Drivers!C19+1),Summary!C31*Drivers!C38,0)</f>
        <v>0</v>
      </c>
      <c r="Y57" s="14">
        <f t="shared" si="3"/>
        <v>1190825.002</v>
      </c>
      <c r="Z57" s="14">
        <f t="shared" si="4"/>
        <v>12638.17945</v>
      </c>
      <c r="AA57" s="14">
        <f t="shared" si="7"/>
        <v>-109825870.9</v>
      </c>
      <c r="AB57" s="14">
        <f t="shared" si="5"/>
        <v>26963.36657</v>
      </c>
      <c r="AC57" s="14">
        <f>(E57+F57+G57+H57)*Drivers!C45</f>
        <v>0</v>
      </c>
      <c r="AD57" s="14">
        <f>IF(A57&lt;=Summary!C18,AB57+IF(A57=Summary!C18,Summary!C40,0),0)</f>
        <v>26963.36657</v>
      </c>
      <c r="AE57" s="14">
        <f>IF(A57&lt;=Summary!C18,Z57+IF(A57=Summary!C18,Summary!C40-Y57,0),0)</f>
        <v>12638.17945</v>
      </c>
      <c r="AF57" s="14">
        <f>AD57-IF(A57=0,Drivers!C44,0)</f>
        <v>26963.36657</v>
      </c>
      <c r="AG57" s="14">
        <f t="shared" si="8"/>
        <v>-110741755.6</v>
      </c>
    </row>
    <row r="58">
      <c r="A58" s="2">
        <v>56.0</v>
      </c>
      <c r="B58" s="15">
        <f>EDATE(Setup!B2,A58)</f>
        <v>47982</v>
      </c>
      <c r="C58" s="2" t="str">
        <f>IF(A58=0,"T0",IF(A58&lt;=Drivers!C19,"Preconstruction",IF(A58&lt;=(Drivers!C19+Drivers!C20),"Construction","Trading")))</f>
        <v>Trading</v>
      </c>
      <c r="D58" s="12">
        <f t="array" ref="D58">IF(AND(A58&gt;Drivers!C19,A58&lt;=(Drivers!C19+Drivers!C20)),SIN(PI()*(A58-Drivers!C19-0.5)/Drivers!C20)/SUMPRODUCT(SIN(PI()*(SEQUENCE(Drivers!C20,1)-0.5)/Drivers!C20)),0)</f>
        <v>0</v>
      </c>
      <c r="E58" s="14">
        <f>(Summary!C10+Summary!C12)*D58*(1+Drivers!C21)^(A58/12)</f>
        <v>0</v>
      </c>
      <c r="F58" s="14">
        <f>IF(AND(A58&gt;0,A58&lt;=Drivers!C19),Summary!C11*Drivers!C40/Drivers!C19*(1+Drivers!C21)^(A58/12),Summary!C11*(1-Drivers!C40 )*D58*(1+Drivers!C21)^(A58/12))</f>
        <v>0</v>
      </c>
      <c r="G58" s="14">
        <f>IF(AND(A58&gt;0,A58&lt;=2),Drivers!C16/2,0)</f>
        <v>0</v>
      </c>
      <c r="H58" s="14">
        <f>IF(A58=(Drivers!C19+Drivers!C20),Drivers!C17*(1+Drivers!C21)^(A58/12),0)</f>
        <v>0</v>
      </c>
      <c r="I58" s="14">
        <f>IF(AND(A58&gt;0,A58&lt;=(Drivers!C19+Drivers!C20)),Drivers!C18*(1+Drivers!C23)^(A58/12),0)</f>
        <v>0</v>
      </c>
      <c r="J58" s="14">
        <f t="shared" si="1"/>
        <v>0</v>
      </c>
      <c r="K58" s="12">
        <f>IF(A58&gt;(Drivers!C19+Drivers!C20),MIN(1,0.5+0.5*(A58-(Drivers!C19+Drivers!C20))/Drivers!C39),0)</f>
        <v>1</v>
      </c>
      <c r="L58" s="14">
        <f>Drivers!C2*(B58-B57)*Drivers!C24*(1+Drivers!C22)^(A58/12)*Drivers!C25*K58</f>
        <v>583613.3074</v>
      </c>
      <c r="M58" s="14">
        <f>L58*Drivers!C26</f>
        <v>116722.6615</v>
      </c>
      <c r="N58" s="14">
        <f>(L58+M58)*Drivers!C27</f>
        <v>245117.5891</v>
      </c>
      <c r="O58" s="14">
        <f>IF(A58&gt;(Drivers!C19+Drivers!C20),Drivers!C28/12*(1+Drivers!C23)^(A58/12),0)</f>
        <v>400283.4756</v>
      </c>
      <c r="P58" s="14">
        <f>(L58+M58)*Drivers!C29</f>
        <v>28013.43875</v>
      </c>
      <c r="Q58" s="14">
        <f>Drivers!C3*Drivers!C30*(1+Drivers!C22)^(A58/12)*Drivers!C31*(1-Drivers!C32 )*K58</f>
        <v>45932.52882</v>
      </c>
      <c r="R58" s="14">
        <f>IF(A58&gt;(Drivers!C19+Drivers!C20),Drivers!C33/12*(1+Drivers!C23)^(A58/12),0)</f>
        <v>60042.52134</v>
      </c>
      <c r="S58" s="14">
        <f t="shared" si="2"/>
        <v>12811.47292</v>
      </c>
      <c r="T58" s="14">
        <f t="shared" si="6"/>
        <v>1190825.002</v>
      </c>
      <c r="U58" s="14">
        <f>IF(AND(A58&gt;Drivers!C19,A58&lt;=(Drivers!C19+Drivers!C20)),Summary!C31*D58,0)</f>
        <v>0</v>
      </c>
      <c r="V58" s="14">
        <f>IF(A58&lt;=(Drivers!C19+Drivers!C20),(T58+U58/2)*Drivers!C36/12,T58*Drivers!C36/12)</f>
        <v>11412.07293</v>
      </c>
      <c r="W58" s="14">
        <f>IF(A58&gt;(Drivers!C19+Drivers!C20),MIN(T58,MAX(0,Summary!C32/12-V58)),0)</f>
        <v>2913.114189</v>
      </c>
      <c r="X58" s="14">
        <f>IF(A58=(Drivers!C19+1),Summary!C31*Drivers!C38,0)</f>
        <v>0</v>
      </c>
      <c r="Y58" s="14">
        <f t="shared" si="3"/>
        <v>1187911.888</v>
      </c>
      <c r="Z58" s="14">
        <f t="shared" si="4"/>
        <v>-1513.714204</v>
      </c>
      <c r="AA58" s="14">
        <f t="shared" si="7"/>
        <v>-109827384.6</v>
      </c>
      <c r="AB58" s="14">
        <f t="shared" si="5"/>
        <v>12811.47292</v>
      </c>
      <c r="AC58" s="14">
        <f>(E58+F58+G58+H58)*Drivers!C45</f>
        <v>0</v>
      </c>
      <c r="AD58" s="14">
        <f>IF(A58&lt;=Summary!C18,AB58+IF(A58=Summary!C18,Summary!C40,0),0)</f>
        <v>12811.47292</v>
      </c>
      <c r="AE58" s="14">
        <f>IF(A58&lt;=Summary!C18,Z58+IF(A58=Summary!C18,Summary!C40-Y58,0),0)</f>
        <v>-1513.714204</v>
      </c>
      <c r="AF58" s="14">
        <f>AD58-IF(A58=0,Drivers!C44,0)</f>
        <v>12811.47292</v>
      </c>
      <c r="AG58" s="14">
        <f t="shared" si="8"/>
        <v>-110728944.2</v>
      </c>
    </row>
    <row r="59">
      <c r="A59" s="2">
        <v>57.0</v>
      </c>
      <c r="B59" s="15">
        <f>EDATE(Setup!B2,A59)</f>
        <v>48013</v>
      </c>
      <c r="C59" s="2" t="str">
        <f>IF(A59=0,"T0",IF(A59&lt;=Drivers!C19,"Preconstruction",IF(A59&lt;=(Drivers!C19+Drivers!C20),"Construction","Trading")))</f>
        <v>Trading</v>
      </c>
      <c r="D59" s="12">
        <f t="array" ref="D59">IF(AND(A59&gt;Drivers!C19,A59&lt;=(Drivers!C19+Drivers!C20)),SIN(PI()*(A59-Drivers!C19-0.5)/Drivers!C20)/SUMPRODUCT(SIN(PI()*(SEQUENCE(Drivers!C20,1)-0.5)/Drivers!C20)),0)</f>
        <v>0</v>
      </c>
      <c r="E59" s="14">
        <f>(Summary!C10+Summary!C12)*D59*(1+Drivers!C21)^(A59/12)</f>
        <v>0</v>
      </c>
      <c r="F59" s="14">
        <f>IF(AND(A59&gt;0,A59&lt;=Drivers!C19),Summary!C11*Drivers!C40/Drivers!C19*(1+Drivers!C21)^(A59/12),Summary!C11*(1-Drivers!C40 )*D59*(1+Drivers!C21)^(A59/12))</f>
        <v>0</v>
      </c>
      <c r="G59" s="14">
        <f>IF(AND(A59&gt;0,A59&lt;=2),Drivers!C16/2,0)</f>
        <v>0</v>
      </c>
      <c r="H59" s="14">
        <f>IF(A59=(Drivers!C19+Drivers!C20),Drivers!C17*(1+Drivers!C21)^(A59/12),0)</f>
        <v>0</v>
      </c>
      <c r="I59" s="14">
        <f>IF(AND(A59&gt;0,A59&lt;=(Drivers!C19+Drivers!C20)),Drivers!C18*(1+Drivers!C23)^(A59/12),0)</f>
        <v>0</v>
      </c>
      <c r="J59" s="14">
        <f t="shared" si="1"/>
        <v>0</v>
      </c>
      <c r="K59" s="12">
        <f>IF(A59&gt;(Drivers!C19+Drivers!C20),MIN(1,0.5+0.5*(A59-(Drivers!C19+Drivers!C20))/Drivers!C39),0)</f>
        <v>1</v>
      </c>
      <c r="L59" s="14">
        <f>Drivers!C2*(B59-B58)*Drivers!C24*(1+Drivers!C22)^(A59/12)*Drivers!C25*K59</f>
        <v>605041.369</v>
      </c>
      <c r="M59" s="14">
        <f>L59*Drivers!C26</f>
        <v>121008.2738</v>
      </c>
      <c r="N59" s="14">
        <f>(L59+M59)*Drivers!C27</f>
        <v>254117.375</v>
      </c>
      <c r="O59" s="14">
        <f>IF(A59&gt;(Drivers!C19+Drivers!C20),Drivers!C28/12*(1+Drivers!C23)^(A59/12),0)</f>
        <v>401593.8995</v>
      </c>
      <c r="P59" s="14">
        <f>(L59+M59)*Drivers!C29</f>
        <v>29041.98571</v>
      </c>
      <c r="Q59" s="14">
        <f>Drivers!C3*Drivers!C30*(1+Drivers!C22)^(A59/12)*Drivers!C31*(1-Drivers!C32 )*K59</f>
        <v>46082.89997</v>
      </c>
      <c r="R59" s="14">
        <f>IF(A59&gt;(Drivers!C19+Drivers!C20),Drivers!C33/12*(1+Drivers!C23)^(A59/12),0)</f>
        <v>60239.08493</v>
      </c>
      <c r="S59" s="14">
        <f t="shared" si="2"/>
        <v>27140.19764</v>
      </c>
      <c r="T59" s="14">
        <f t="shared" si="6"/>
        <v>1187911.888</v>
      </c>
      <c r="U59" s="14">
        <f>IF(AND(A59&gt;Drivers!C19,A59&lt;=(Drivers!C19+Drivers!C20)),Summary!C31*D59,0)</f>
        <v>0</v>
      </c>
      <c r="V59" s="14">
        <f>IF(A59&lt;=(Drivers!C19+Drivers!C20),(T59+U59/2)*Drivers!C36/12,T59*Drivers!C36/12)</f>
        <v>11384.15559</v>
      </c>
      <c r="W59" s="14">
        <f>IF(A59&gt;(Drivers!C19+Drivers!C20),MIN(T59,MAX(0,Summary!C32/12-V59)),0)</f>
        <v>2941.031533</v>
      </c>
      <c r="X59" s="14">
        <f>IF(A59=(Drivers!C19+1),Summary!C31*Drivers!C38,0)</f>
        <v>0</v>
      </c>
      <c r="Y59" s="14">
        <f t="shared" si="3"/>
        <v>1184970.856</v>
      </c>
      <c r="Z59" s="14">
        <f t="shared" si="4"/>
        <v>12815.01052</v>
      </c>
      <c r="AA59" s="14">
        <f t="shared" si="7"/>
        <v>-109814569.6</v>
      </c>
      <c r="AB59" s="14">
        <f t="shared" si="5"/>
        <v>27140.19764</v>
      </c>
      <c r="AC59" s="14">
        <f>(E59+F59+G59+H59)*Drivers!C45</f>
        <v>0</v>
      </c>
      <c r="AD59" s="14">
        <f>IF(A59&lt;=Summary!C18,AB59+IF(A59=Summary!C18,Summary!C40,0),0)</f>
        <v>27140.19764</v>
      </c>
      <c r="AE59" s="14">
        <f>IF(A59&lt;=Summary!C18,Z59+IF(A59=Summary!C18,Summary!C40-Y59,0),0)</f>
        <v>12815.01052</v>
      </c>
      <c r="AF59" s="14">
        <f>AD59-IF(A59=0,Drivers!C44,0)</f>
        <v>27140.19764</v>
      </c>
      <c r="AG59" s="14">
        <f t="shared" si="8"/>
        <v>-110701804</v>
      </c>
    </row>
    <row r="60">
      <c r="A60" s="2">
        <v>58.0</v>
      </c>
      <c r="B60" s="15">
        <f>EDATE(Setup!B2,A60)</f>
        <v>48043</v>
      </c>
      <c r="C60" s="2" t="str">
        <f>IF(A60=0,"T0",IF(A60&lt;=Drivers!C19,"Preconstruction",IF(A60&lt;=(Drivers!C19+Drivers!C20),"Construction","Trading")))</f>
        <v>Trading</v>
      </c>
      <c r="D60" s="12">
        <f t="array" ref="D60">IF(AND(A60&gt;Drivers!C19,A60&lt;=(Drivers!C19+Drivers!C20)),SIN(PI()*(A60-Drivers!C19-0.5)/Drivers!C20)/SUMPRODUCT(SIN(PI()*(SEQUENCE(Drivers!C20,1)-0.5)/Drivers!C20)),0)</f>
        <v>0</v>
      </c>
      <c r="E60" s="14">
        <f>(Summary!C10+Summary!C12)*D60*(1+Drivers!C21)^(A60/12)</f>
        <v>0</v>
      </c>
      <c r="F60" s="14">
        <f>IF(AND(A60&gt;0,A60&lt;=Drivers!C19),Summary!C11*Drivers!C40/Drivers!C19*(1+Drivers!C21)^(A60/12),Summary!C11*(1-Drivers!C40 )*D60*(1+Drivers!C21)^(A60/12))</f>
        <v>0</v>
      </c>
      <c r="G60" s="14">
        <f>IF(AND(A60&gt;0,A60&lt;=2),Drivers!C16/2,0)</f>
        <v>0</v>
      </c>
      <c r="H60" s="14">
        <f>IF(A60=(Drivers!C19+Drivers!C20),Drivers!C17*(1+Drivers!C21)^(A60/12),0)</f>
        <v>0</v>
      </c>
      <c r="I60" s="14">
        <f>IF(AND(A60&gt;0,A60&lt;=(Drivers!C19+Drivers!C20)),Drivers!C18*(1+Drivers!C23)^(A60/12),0)</f>
        <v>0</v>
      </c>
      <c r="J60" s="14">
        <f t="shared" si="1"/>
        <v>0</v>
      </c>
      <c r="K60" s="12">
        <f>IF(A60&gt;(Drivers!C19+Drivers!C20),MIN(1,0.5+0.5*(A60-(Drivers!C19+Drivers!C20))/Drivers!C39),0)</f>
        <v>1</v>
      </c>
      <c r="L60" s="14">
        <f>Drivers!C2*(B60-B59)*Drivers!C24*(1+Drivers!C22)^(A60/12)*Drivers!C25*K60</f>
        <v>587440.7584</v>
      </c>
      <c r="M60" s="14">
        <f>L60*Drivers!C26</f>
        <v>117488.1517</v>
      </c>
      <c r="N60" s="14">
        <f>(L60+M60)*Drivers!C27</f>
        <v>246725.1185</v>
      </c>
      <c r="O60" s="14">
        <f>IF(A60&gt;(Drivers!C19+Drivers!C20),Drivers!C28/12*(1+Drivers!C23)^(A60/12),0)</f>
        <v>402908.6134</v>
      </c>
      <c r="P60" s="14">
        <f>(L60+M60)*Drivers!C29</f>
        <v>28197.1564</v>
      </c>
      <c r="Q60" s="14">
        <f>Drivers!C3*Drivers!C30*(1+Drivers!C22)^(A60/12)*Drivers!C31*(1-Drivers!C32 )*K60</f>
        <v>46233.76339</v>
      </c>
      <c r="R60" s="14">
        <f>IF(A60&gt;(Drivers!C19+Drivers!C20),Drivers!C33/12*(1+Drivers!C23)^(A60/12),0)</f>
        <v>60436.29201</v>
      </c>
      <c r="S60" s="14">
        <f t="shared" si="2"/>
        <v>12895.49308</v>
      </c>
      <c r="T60" s="14">
        <f t="shared" si="6"/>
        <v>1184970.856</v>
      </c>
      <c r="U60" s="14">
        <f>IF(AND(A60&gt;Drivers!C19,A60&lt;=(Drivers!C19+Drivers!C20)),Summary!C31*D60,0)</f>
        <v>0</v>
      </c>
      <c r="V60" s="14">
        <f>IF(A60&lt;=(Drivers!C19+Drivers!C20),(T60+U60/2)*Drivers!C36/12,T60*Drivers!C36/12)</f>
        <v>11355.9707</v>
      </c>
      <c r="W60" s="14">
        <f>IF(A60&gt;(Drivers!C19+Drivers!C20),MIN(T60,MAX(0,Summary!C32/12-V60)),0)</f>
        <v>2969.216419</v>
      </c>
      <c r="X60" s="14">
        <f>IF(A60=(Drivers!C19+1),Summary!C31*Drivers!C38,0)</f>
        <v>0</v>
      </c>
      <c r="Y60" s="14">
        <f t="shared" si="3"/>
        <v>1182001.64</v>
      </c>
      <c r="Z60" s="14">
        <f t="shared" si="4"/>
        <v>-1429.694041</v>
      </c>
      <c r="AA60" s="14">
        <f t="shared" si="7"/>
        <v>-109815999.3</v>
      </c>
      <c r="AB60" s="14">
        <f t="shared" si="5"/>
        <v>12895.49308</v>
      </c>
      <c r="AC60" s="14">
        <f>(E60+F60+G60+H60)*Drivers!C45</f>
        <v>0</v>
      </c>
      <c r="AD60" s="14">
        <f>IF(A60&lt;=Summary!C18,AB60+IF(A60=Summary!C18,Summary!C40,0),0)</f>
        <v>12895.49308</v>
      </c>
      <c r="AE60" s="14">
        <f>IF(A60&lt;=Summary!C18,Z60+IF(A60=Summary!C18,Summary!C40-Y60,0),0)</f>
        <v>-1429.694041</v>
      </c>
      <c r="AF60" s="14">
        <f>AD60-IF(A60=0,Drivers!C44,0)</f>
        <v>12895.49308</v>
      </c>
      <c r="AG60" s="14">
        <f t="shared" si="8"/>
        <v>-110688908.5</v>
      </c>
    </row>
    <row r="61">
      <c r="A61" s="2">
        <v>59.0</v>
      </c>
      <c r="B61" s="15">
        <f>EDATE(Setup!B2,A61)</f>
        <v>48074</v>
      </c>
      <c r="C61" s="2" t="str">
        <f>IF(A61=0,"T0",IF(A61&lt;=Drivers!C19,"Preconstruction",IF(A61&lt;=(Drivers!C19+Drivers!C20),"Construction","Trading")))</f>
        <v>Trading</v>
      </c>
      <c r="D61" s="12">
        <f t="array" ref="D61">IF(AND(A61&gt;Drivers!C19,A61&lt;=(Drivers!C19+Drivers!C20)),SIN(PI()*(A61-Drivers!C19-0.5)/Drivers!C20)/SUMPRODUCT(SIN(PI()*(SEQUENCE(Drivers!C20,1)-0.5)/Drivers!C20)),0)</f>
        <v>0</v>
      </c>
      <c r="E61" s="14">
        <f>(Summary!C10+Summary!C12)*D61*(1+Drivers!C21)^(A61/12)</f>
        <v>0</v>
      </c>
      <c r="F61" s="14">
        <f>IF(AND(A61&gt;0,A61&lt;=Drivers!C19),Summary!C11*Drivers!C40/Drivers!C19*(1+Drivers!C21)^(A61/12),Summary!C11*(1-Drivers!C40 )*D61*(1+Drivers!C21)^(A61/12))</f>
        <v>0</v>
      </c>
      <c r="G61" s="14">
        <f>IF(AND(A61&gt;0,A61&lt;=2),Drivers!C16/2,0)</f>
        <v>0</v>
      </c>
      <c r="H61" s="14">
        <f>IF(A61=(Drivers!C19+Drivers!C20),Drivers!C17*(1+Drivers!C21)^(A61/12),0)</f>
        <v>0</v>
      </c>
      <c r="I61" s="14">
        <f>IF(AND(A61&gt;0,A61&lt;=(Drivers!C19+Drivers!C20)),Drivers!C18*(1+Drivers!C23)^(A61/12),0)</f>
        <v>0</v>
      </c>
      <c r="J61" s="14">
        <f t="shared" si="1"/>
        <v>0</v>
      </c>
      <c r="K61" s="12">
        <f>IF(A61&gt;(Drivers!C19+Drivers!C20),MIN(1,0.5+0.5*(A61-(Drivers!C19+Drivers!C20))/Drivers!C39),0)</f>
        <v>1</v>
      </c>
      <c r="L61" s="14">
        <f>Drivers!C2*(B61-B60)*Drivers!C24*(1+Drivers!C22)^(A61/12)*Drivers!C25*K61</f>
        <v>609009.3495</v>
      </c>
      <c r="M61" s="14">
        <f>L61*Drivers!C26</f>
        <v>121801.8699</v>
      </c>
      <c r="N61" s="14">
        <f>(L61+M61)*Drivers!C27</f>
        <v>255783.9268</v>
      </c>
      <c r="O61" s="14">
        <f>IF(A61&gt;(Drivers!C19+Drivers!C20),Drivers!C28/12*(1+Drivers!C23)^(A61/12),0)</f>
        <v>404227.6314</v>
      </c>
      <c r="P61" s="14">
        <f>(L61+M61)*Drivers!C29</f>
        <v>29232.44877</v>
      </c>
      <c r="Q61" s="14">
        <f>Drivers!C3*Drivers!C30*(1+Drivers!C22)^(A61/12)*Drivers!C31*(1-Drivers!C32 )*K61</f>
        <v>46385.1207</v>
      </c>
      <c r="R61" s="14">
        <f>IF(A61&gt;(Drivers!C19+Drivers!C20),Drivers!C33/12*(1+Drivers!C23)^(A61/12),0)</f>
        <v>60634.14471</v>
      </c>
      <c r="S61" s="14">
        <f t="shared" si="2"/>
        <v>27318.1884</v>
      </c>
      <c r="T61" s="14">
        <f t="shared" si="6"/>
        <v>1182001.64</v>
      </c>
      <c r="U61" s="14">
        <f>IF(AND(A61&gt;Drivers!C19,A61&lt;=(Drivers!C19+Drivers!C20)),Summary!C31*D61,0)</f>
        <v>0</v>
      </c>
      <c r="V61" s="14">
        <f>IF(A61&lt;=(Drivers!C19+Drivers!C20),(T61+U61/2)*Drivers!C36/12,T61*Drivers!C36/12)</f>
        <v>11327.51571</v>
      </c>
      <c r="W61" s="14">
        <f>IF(A61&gt;(Drivers!C19+Drivers!C20),MIN(T61,MAX(0,Summary!C32/12-V61)),0)</f>
        <v>2997.671409</v>
      </c>
      <c r="X61" s="14">
        <f>IF(A61=(Drivers!C19+1),Summary!C31*Drivers!C38,0)</f>
        <v>0</v>
      </c>
      <c r="Y61" s="14">
        <f t="shared" si="3"/>
        <v>1179003.968</v>
      </c>
      <c r="Z61" s="14">
        <f t="shared" si="4"/>
        <v>12993.00128</v>
      </c>
      <c r="AA61" s="14">
        <f t="shared" si="7"/>
        <v>-109803006.3</v>
      </c>
      <c r="AB61" s="14">
        <f t="shared" si="5"/>
        <v>27318.1884</v>
      </c>
      <c r="AC61" s="14">
        <f>(E61+F61+G61+H61)*Drivers!C45</f>
        <v>0</v>
      </c>
      <c r="AD61" s="14">
        <f>IF(A61&lt;=Summary!C18,AB61+IF(A61=Summary!C18,Summary!C40,0),0)</f>
        <v>27318.1884</v>
      </c>
      <c r="AE61" s="14">
        <f>IF(A61&lt;=Summary!C18,Z61+IF(A61=Summary!C18,Summary!C40-Y61,0),0)</f>
        <v>12993.00128</v>
      </c>
      <c r="AF61" s="14">
        <f>AD61-IF(A61=0,Drivers!C44,0)</f>
        <v>27318.1884</v>
      </c>
      <c r="AG61" s="14">
        <f t="shared" si="8"/>
        <v>-110661590.3</v>
      </c>
    </row>
    <row r="62">
      <c r="A62" s="2">
        <v>60.0</v>
      </c>
      <c r="B62" s="15">
        <f>EDATE(Setup!B2,A62)</f>
        <v>48105</v>
      </c>
      <c r="C62" s="2" t="str">
        <f>IF(A62=0,"T0",IF(A62&lt;=Drivers!C19,"Preconstruction",IF(A62&lt;=(Drivers!C19+Drivers!C20),"Construction","Trading")))</f>
        <v>Trading</v>
      </c>
      <c r="D62" s="12">
        <f t="array" ref="D62">IF(AND(A62&gt;Drivers!C19,A62&lt;=(Drivers!C19+Drivers!C20)),SIN(PI()*(A62-Drivers!C19-0.5)/Drivers!C20)/SUMPRODUCT(SIN(PI()*(SEQUENCE(Drivers!C20,1)-0.5)/Drivers!C20)),0)</f>
        <v>0</v>
      </c>
      <c r="E62" s="14">
        <f>(Summary!C10+Summary!C12)*D62*(1+Drivers!C21)^(A62/12)</f>
        <v>0</v>
      </c>
      <c r="F62" s="14">
        <f>IF(AND(A62&gt;0,A62&lt;=Drivers!C19),Summary!C11*Drivers!C40/Drivers!C19*(1+Drivers!C21)^(A62/12),Summary!C11*(1-Drivers!C40 )*D62*(1+Drivers!C21)^(A62/12))</f>
        <v>0</v>
      </c>
      <c r="G62" s="14">
        <f>IF(AND(A62&gt;0,A62&lt;=2),Drivers!C16/2,0)</f>
        <v>0</v>
      </c>
      <c r="H62" s="14">
        <f>IF(A62=(Drivers!C19+Drivers!C20),Drivers!C17*(1+Drivers!C21)^(A62/12),0)</f>
        <v>0</v>
      </c>
      <c r="I62" s="14">
        <f>IF(AND(A62&gt;0,A62&lt;=(Drivers!C19+Drivers!C20)),Drivers!C18*(1+Drivers!C23)^(A62/12),0)</f>
        <v>0</v>
      </c>
      <c r="J62" s="14">
        <f t="shared" si="1"/>
        <v>0</v>
      </c>
      <c r="K62" s="12">
        <f>IF(A62&gt;(Drivers!C19+Drivers!C20),MIN(1,0.5+0.5*(A62-(Drivers!C19+Drivers!C20))/Drivers!C39),0)</f>
        <v>1</v>
      </c>
      <c r="L62" s="14">
        <f>Drivers!C2*(B62-B61)*Drivers!C24*(1+Drivers!C22)^(A62/12)*Drivers!C25*K62</f>
        <v>611003.0876</v>
      </c>
      <c r="M62" s="14">
        <f>L62*Drivers!C26</f>
        <v>122200.6175</v>
      </c>
      <c r="N62" s="14">
        <f>(L62+M62)*Drivers!C27</f>
        <v>256621.2968</v>
      </c>
      <c r="O62" s="14">
        <f>IF(A62&gt;(Drivers!C19+Drivers!C20),Drivers!C28/12*(1+Drivers!C23)^(A62/12),0)</f>
        <v>405550.9675</v>
      </c>
      <c r="P62" s="14">
        <f>(L62+M62)*Drivers!C29</f>
        <v>29328.1482</v>
      </c>
      <c r="Q62" s="14">
        <f>Drivers!C3*Drivers!C30*(1+Drivers!C22)^(A62/12)*Drivers!C31*(1-Drivers!C32 )*K62</f>
        <v>46536.97352</v>
      </c>
      <c r="R62" s="14">
        <f>IF(A62&gt;(Drivers!C19+Drivers!C20),Drivers!C33/12*(1+Drivers!C23)^(A62/12),0)</f>
        <v>60832.64512</v>
      </c>
      <c r="S62" s="14">
        <f t="shared" si="2"/>
        <v>27407.62104</v>
      </c>
      <c r="T62" s="14">
        <f t="shared" si="6"/>
        <v>1179003.968</v>
      </c>
      <c r="U62" s="14">
        <f>IF(AND(A62&gt;Drivers!C19,A62&lt;=(Drivers!C19+Drivers!C20)),Summary!C31*D62,0)</f>
        <v>0</v>
      </c>
      <c r="V62" s="14">
        <f>IF(A62&lt;=(Drivers!C19+Drivers!C20),(T62+U62/2)*Drivers!C36/12,T62*Drivers!C36/12)</f>
        <v>11298.78803</v>
      </c>
      <c r="W62" s="14">
        <f>IF(A62&gt;(Drivers!C19+Drivers!C20),MIN(T62,MAX(0,Summary!C32/12-V62)),0)</f>
        <v>3026.399094</v>
      </c>
      <c r="X62" s="14">
        <f>IF(A62=(Drivers!C19+1),Summary!C31*Drivers!C38,0)</f>
        <v>0</v>
      </c>
      <c r="Y62" s="14">
        <f t="shared" si="3"/>
        <v>1175977.569</v>
      </c>
      <c r="Z62" s="14">
        <f t="shared" si="4"/>
        <v>13082.43392</v>
      </c>
      <c r="AA62" s="14">
        <f t="shared" si="7"/>
        <v>-109789923.9</v>
      </c>
      <c r="AB62" s="14">
        <f t="shared" si="5"/>
        <v>27407.62104</v>
      </c>
      <c r="AC62" s="14">
        <f>(E62+F62+G62+H62)*Drivers!C45</f>
        <v>0</v>
      </c>
      <c r="AD62" s="14">
        <f>IF(A62&lt;=Summary!C18,AB62+IF(A62=Summary!C18,Summary!C40,0),0)</f>
        <v>27407.62104</v>
      </c>
      <c r="AE62" s="14">
        <f>IF(A62&lt;=Summary!C18,Z62+IF(A62=Summary!C18,Summary!C40-Y62,0),0)</f>
        <v>13082.43392</v>
      </c>
      <c r="AF62" s="14">
        <f>AD62-IF(A62=0,Drivers!C44,0)</f>
        <v>27407.62104</v>
      </c>
      <c r="AG62" s="14">
        <f t="shared" si="8"/>
        <v>-110634182.7</v>
      </c>
    </row>
    <row r="63">
      <c r="A63" s="2">
        <v>61.0</v>
      </c>
      <c r="B63" s="15">
        <f>EDATE(Setup!B2,A63)</f>
        <v>48135</v>
      </c>
      <c r="C63" s="2" t="str">
        <f>IF(A63=0,"T0",IF(A63&lt;=Drivers!C19,"Preconstruction",IF(A63&lt;=(Drivers!C19+Drivers!C20),"Construction","Trading")))</f>
        <v>Trading</v>
      </c>
      <c r="D63" s="12">
        <f t="array" ref="D63">IF(AND(A63&gt;Drivers!C19,A63&lt;=(Drivers!C19+Drivers!C20)),SIN(PI()*(A63-Drivers!C19-0.5)/Drivers!C20)/SUMPRODUCT(SIN(PI()*(SEQUENCE(Drivers!C20,1)-0.5)/Drivers!C20)),0)</f>
        <v>0</v>
      </c>
      <c r="E63" s="14">
        <f>(Summary!C10+Summary!C12)*D63*(1+Drivers!C21)^(A63/12)</f>
        <v>0</v>
      </c>
      <c r="F63" s="14">
        <f>IF(AND(A63&gt;0,A63&lt;=Drivers!C19),Summary!C11*Drivers!C40/Drivers!C19*(1+Drivers!C21)^(A63/12),Summary!C11*(1-Drivers!C40 )*D63*(1+Drivers!C21)^(A63/12))</f>
        <v>0</v>
      </c>
      <c r="G63" s="14">
        <f>IF(AND(A63&gt;0,A63&lt;=2),Drivers!C16/2,0)</f>
        <v>0</v>
      </c>
      <c r="H63" s="14">
        <f>IF(A63=(Drivers!C19+Drivers!C20),Drivers!C17*(1+Drivers!C21)^(A63/12),0)</f>
        <v>0</v>
      </c>
      <c r="I63" s="14">
        <f>IF(AND(A63&gt;0,A63&lt;=(Drivers!C19+Drivers!C20)),Drivers!C18*(1+Drivers!C23)^(A63/12),0)</f>
        <v>0</v>
      </c>
      <c r="J63" s="14">
        <f t="shared" si="1"/>
        <v>0</v>
      </c>
      <c r="K63" s="12">
        <f>IF(A63&gt;(Drivers!C19+Drivers!C20),MIN(1,0.5+0.5*(A63-(Drivers!C19+Drivers!C20))/Drivers!C39),0)</f>
        <v>1</v>
      </c>
      <c r="L63" s="14">
        <f>Drivers!C2*(B63-B62)*Drivers!C24*(1+Drivers!C22)^(A63/12)*Drivers!C25*K63</f>
        <v>593229.051</v>
      </c>
      <c r="M63" s="14">
        <f>L63*Drivers!C26</f>
        <v>118645.8102</v>
      </c>
      <c r="N63" s="14">
        <f>(L63+M63)*Drivers!C27</f>
        <v>249156.2014</v>
      </c>
      <c r="O63" s="14">
        <f>IF(A63&gt;(Drivers!C19+Drivers!C20),Drivers!C28/12*(1+Drivers!C23)^(A63/12),0)</f>
        <v>406878.6358</v>
      </c>
      <c r="P63" s="14">
        <f>(L63+M63)*Drivers!C29</f>
        <v>28474.99445</v>
      </c>
      <c r="Q63" s="14">
        <f>Drivers!C3*Drivers!C30*(1+Drivers!C22)^(A63/12)*Drivers!C31*(1-Drivers!C32 )*K63</f>
        <v>46689.32346</v>
      </c>
      <c r="R63" s="14">
        <f>IF(A63&gt;(Drivers!C19+Drivers!C20),Drivers!C33/12*(1+Drivers!C23)^(A63/12),0)</f>
        <v>61031.79537</v>
      </c>
      <c r="S63" s="14">
        <f t="shared" si="2"/>
        <v>13022.55762</v>
      </c>
      <c r="T63" s="14">
        <f t="shared" si="6"/>
        <v>1175977.569</v>
      </c>
      <c r="U63" s="14">
        <f>IF(AND(A63&gt;Drivers!C19,A63&lt;=(Drivers!C19+Drivers!C20)),Summary!C31*D63,0)</f>
        <v>0</v>
      </c>
      <c r="V63" s="14">
        <f>IF(A63&lt;=(Drivers!C19+Drivers!C20),(T63+U63/2)*Drivers!C36/12,T63*Drivers!C36/12)</f>
        <v>11269.78504</v>
      </c>
      <c r="W63" s="14">
        <f>IF(A63&gt;(Drivers!C19+Drivers!C20),MIN(T63,MAX(0,Summary!C32/12-V63)),0)</f>
        <v>3055.402085</v>
      </c>
      <c r="X63" s="14">
        <f>IF(A63=(Drivers!C19+1),Summary!C31*Drivers!C38,0)</f>
        <v>0</v>
      </c>
      <c r="Y63" s="14">
        <f t="shared" si="3"/>
        <v>1172922.167</v>
      </c>
      <c r="Z63" s="14">
        <f t="shared" si="4"/>
        <v>-1302.629505</v>
      </c>
      <c r="AA63" s="14">
        <f t="shared" si="7"/>
        <v>-109791226.5</v>
      </c>
      <c r="AB63" s="14">
        <f t="shared" si="5"/>
        <v>13022.55762</v>
      </c>
      <c r="AC63" s="14">
        <f>(E63+F63+G63+H63)*Drivers!C45</f>
        <v>0</v>
      </c>
      <c r="AD63" s="14">
        <f>IF(A63&lt;=Summary!C18,AB63+IF(A63=Summary!C18,Summary!C40,0),0)</f>
        <v>13022.55762</v>
      </c>
      <c r="AE63" s="14">
        <f>IF(A63&lt;=Summary!C18,Z63+IF(A63=Summary!C18,Summary!C40-Y63,0),0)</f>
        <v>-1302.629505</v>
      </c>
      <c r="AF63" s="14">
        <f>AD63-IF(A63=0,Drivers!C44,0)</f>
        <v>13022.55762</v>
      </c>
      <c r="AG63" s="14">
        <f t="shared" si="8"/>
        <v>-110621160.1</v>
      </c>
    </row>
    <row r="64">
      <c r="A64" s="2">
        <v>62.0</v>
      </c>
      <c r="B64" s="15">
        <f>EDATE(Setup!B2,A64)</f>
        <v>48166</v>
      </c>
      <c r="C64" s="2" t="str">
        <f>IF(A64=0,"T0",IF(A64&lt;=Drivers!C19,"Preconstruction",IF(A64&lt;=(Drivers!C19+Drivers!C20),"Construction","Trading")))</f>
        <v>Trading</v>
      </c>
      <c r="D64" s="12">
        <f t="array" ref="D64">IF(AND(A64&gt;Drivers!C19,A64&lt;=(Drivers!C19+Drivers!C20)),SIN(PI()*(A64-Drivers!C19-0.5)/Drivers!C20)/SUMPRODUCT(SIN(PI()*(SEQUENCE(Drivers!C20,1)-0.5)/Drivers!C20)),0)</f>
        <v>0</v>
      </c>
      <c r="E64" s="14">
        <f>(Summary!C10+Summary!C12)*D64*(1+Drivers!C21)^(A64/12)</f>
        <v>0</v>
      </c>
      <c r="F64" s="14">
        <f>IF(AND(A64&gt;0,A64&lt;=Drivers!C19),Summary!C11*Drivers!C40/Drivers!C19*(1+Drivers!C21)^(A64/12),Summary!C11*(1-Drivers!C40 )*D64*(1+Drivers!C21)^(A64/12))</f>
        <v>0</v>
      </c>
      <c r="G64" s="14">
        <f>IF(AND(A64&gt;0,A64&lt;=2),Drivers!C16/2,0)</f>
        <v>0</v>
      </c>
      <c r="H64" s="14">
        <f>IF(A64=(Drivers!C19+Drivers!C20),Drivers!C17*(1+Drivers!C21)^(A64/12),0)</f>
        <v>0</v>
      </c>
      <c r="I64" s="14">
        <f>IF(AND(A64&gt;0,A64&lt;=(Drivers!C19+Drivers!C20)),Drivers!C18*(1+Drivers!C23)^(A64/12),0)</f>
        <v>0</v>
      </c>
      <c r="J64" s="14">
        <f t="shared" si="1"/>
        <v>0</v>
      </c>
      <c r="K64" s="12">
        <f>IF(A64&gt;(Drivers!C19+Drivers!C20),MIN(1,0.5+0.5*(A64-(Drivers!C19+Drivers!C20))/Drivers!C39),0)</f>
        <v>1</v>
      </c>
      <c r="L64" s="14">
        <f>Drivers!C2*(B64-B63)*Drivers!C24*(1+Drivers!C22)^(A64/12)*Drivers!C25*K64</f>
        <v>615010.1662</v>
      </c>
      <c r="M64" s="14">
        <f>L64*Drivers!C26</f>
        <v>123002.0332</v>
      </c>
      <c r="N64" s="14">
        <f>(L64+M64)*Drivers!C27</f>
        <v>258304.2698</v>
      </c>
      <c r="O64" s="14">
        <f>IF(A64&gt;(Drivers!C19+Drivers!C20),Drivers!C28/12*(1+Drivers!C23)^(A64/12),0)</f>
        <v>408210.6506</v>
      </c>
      <c r="P64" s="14">
        <f>(L64+M64)*Drivers!C29</f>
        <v>29520.48798</v>
      </c>
      <c r="Q64" s="14">
        <f>Drivers!C3*Drivers!C30*(1+Drivers!C22)^(A64/12)*Drivers!C31*(1-Drivers!C32 )*K64</f>
        <v>46842.17215</v>
      </c>
      <c r="R64" s="14">
        <f>IF(A64&gt;(Drivers!C19+Drivers!C20),Drivers!C33/12*(1+Drivers!C23)^(A64/12),0)</f>
        <v>61231.59759</v>
      </c>
      <c r="S64" s="14">
        <f t="shared" si="2"/>
        <v>27587.36562</v>
      </c>
      <c r="T64" s="14">
        <f t="shared" si="6"/>
        <v>1172922.167</v>
      </c>
      <c r="U64" s="14">
        <f>IF(AND(A64&gt;Drivers!C19,A64&lt;=(Drivers!C19+Drivers!C20)),Summary!C31*D64,0)</f>
        <v>0</v>
      </c>
      <c r="V64" s="14">
        <f>IF(A64&lt;=(Drivers!C19+Drivers!C20),(T64+U64/2)*Drivers!C36/12,T64*Drivers!C36/12)</f>
        <v>11240.5041</v>
      </c>
      <c r="W64" s="14">
        <f>IF(A64&gt;(Drivers!C19+Drivers!C20),MIN(T64,MAX(0,Summary!C32/12-V64)),0)</f>
        <v>3084.683022</v>
      </c>
      <c r="X64" s="14">
        <f>IF(A64=(Drivers!C19+1),Summary!C31*Drivers!C38,0)</f>
        <v>0</v>
      </c>
      <c r="Y64" s="14">
        <f t="shared" si="3"/>
        <v>1169837.484</v>
      </c>
      <c r="Z64" s="14">
        <f t="shared" si="4"/>
        <v>13262.1785</v>
      </c>
      <c r="AA64" s="14">
        <f t="shared" si="7"/>
        <v>-109777964.3</v>
      </c>
      <c r="AB64" s="14">
        <f t="shared" si="5"/>
        <v>27587.36562</v>
      </c>
      <c r="AC64" s="14">
        <f>(E64+F64+G64+H64)*Drivers!C45</f>
        <v>0</v>
      </c>
      <c r="AD64" s="14">
        <f>IF(A64&lt;=Summary!C18,AB64+IF(A64=Summary!C18,Summary!C40,0),0)</f>
        <v>27587.36562</v>
      </c>
      <c r="AE64" s="14">
        <f>IF(A64&lt;=Summary!C18,Z64+IF(A64=Summary!C18,Summary!C40-Y64,0),0)</f>
        <v>13262.1785</v>
      </c>
      <c r="AF64" s="14">
        <f>AD64-IF(A64=0,Drivers!C44,0)</f>
        <v>27587.36562</v>
      </c>
      <c r="AG64" s="14">
        <f t="shared" si="8"/>
        <v>-110593572.7</v>
      </c>
    </row>
    <row r="65">
      <c r="A65" s="2">
        <v>63.0</v>
      </c>
      <c r="B65" s="15">
        <f>EDATE(Setup!B2,A65)</f>
        <v>48196</v>
      </c>
      <c r="C65" s="2" t="str">
        <f>IF(A65=0,"T0",IF(A65&lt;=Drivers!C19,"Preconstruction",IF(A65&lt;=(Drivers!C19+Drivers!C20),"Construction","Trading")))</f>
        <v>Trading</v>
      </c>
      <c r="D65" s="12">
        <f t="array" ref="D65">IF(AND(A65&gt;Drivers!C19,A65&lt;=(Drivers!C19+Drivers!C20)),SIN(PI()*(A65-Drivers!C19-0.5)/Drivers!C20)/SUMPRODUCT(SIN(PI()*(SEQUENCE(Drivers!C20,1)-0.5)/Drivers!C20)),0)</f>
        <v>0</v>
      </c>
      <c r="E65" s="14">
        <f>(Summary!C10+Summary!C12)*D65*(1+Drivers!C21)^(A65/12)</f>
        <v>0</v>
      </c>
      <c r="F65" s="14">
        <f>IF(AND(A65&gt;0,A65&lt;=Drivers!C19),Summary!C11*Drivers!C40/Drivers!C19*(1+Drivers!C21)^(A65/12),Summary!C11*(1-Drivers!C40 )*D65*(1+Drivers!C21)^(A65/12))</f>
        <v>0</v>
      </c>
      <c r="G65" s="14">
        <f>IF(AND(A65&gt;0,A65&lt;=2),Drivers!C16/2,0)</f>
        <v>0</v>
      </c>
      <c r="H65" s="14">
        <f>IF(A65=(Drivers!C19+Drivers!C20),Drivers!C17*(1+Drivers!C21)^(A65/12),0)</f>
        <v>0</v>
      </c>
      <c r="I65" s="14">
        <f>IF(AND(A65&gt;0,A65&lt;=(Drivers!C19+Drivers!C20)),Drivers!C18*(1+Drivers!C23)^(A65/12),0)</f>
        <v>0</v>
      </c>
      <c r="J65" s="14">
        <f t="shared" si="1"/>
        <v>0</v>
      </c>
      <c r="K65" s="12">
        <f>IF(A65&gt;(Drivers!C19+Drivers!C20),MIN(1,0.5+0.5*(A65-(Drivers!C19+Drivers!C20))/Drivers!C39),0)</f>
        <v>1</v>
      </c>
      <c r="L65" s="14">
        <f>Drivers!C2*(B65-B64)*Drivers!C24*(1+Drivers!C22)^(A65/12)*Drivers!C25*K65</f>
        <v>597119.5639</v>
      </c>
      <c r="M65" s="14">
        <f>L65*Drivers!C26</f>
        <v>119423.9128</v>
      </c>
      <c r="N65" s="14">
        <f>(L65+M65)*Drivers!C27</f>
        <v>250790.2169</v>
      </c>
      <c r="O65" s="14">
        <f>IF(A65&gt;(Drivers!C19+Drivers!C20),Drivers!C28/12*(1+Drivers!C23)^(A65/12),0)</f>
        <v>409547.026</v>
      </c>
      <c r="P65" s="14">
        <f>(L65+M65)*Drivers!C29</f>
        <v>28661.73907</v>
      </c>
      <c r="Q65" s="14">
        <f>Drivers!C3*Drivers!C30*(1+Drivers!C22)^(A65/12)*Drivers!C31*(1-Drivers!C32 )*K65</f>
        <v>46995.52124</v>
      </c>
      <c r="R65" s="14">
        <f>IF(A65&gt;(Drivers!C19+Drivers!C20),Drivers!C33/12*(1+Drivers!C23)^(A65/12),0)</f>
        <v>61432.0539</v>
      </c>
      <c r="S65" s="14">
        <f t="shared" si="2"/>
        <v>13107.96211</v>
      </c>
      <c r="T65" s="14">
        <f t="shared" si="6"/>
        <v>1169837.484</v>
      </c>
      <c r="U65" s="14">
        <f>IF(AND(A65&gt;Drivers!C19,A65&lt;=(Drivers!C19+Drivers!C20)),Summary!C31*D65,0)</f>
        <v>0</v>
      </c>
      <c r="V65" s="14">
        <f>IF(A65&lt;=(Drivers!C19+Drivers!C20),(T65+U65/2)*Drivers!C36/12,T65*Drivers!C36/12)</f>
        <v>11210.94256</v>
      </c>
      <c r="W65" s="14">
        <f>IF(A65&gt;(Drivers!C19+Drivers!C20),MIN(T65,MAX(0,Summary!C32/12-V65)),0)</f>
        <v>3114.244567</v>
      </c>
      <c r="X65" s="14">
        <f>IF(A65=(Drivers!C19+1),Summary!C31*Drivers!C38,0)</f>
        <v>0</v>
      </c>
      <c r="Y65" s="14">
        <f t="shared" si="3"/>
        <v>1166723.239</v>
      </c>
      <c r="Z65" s="14">
        <f t="shared" si="4"/>
        <v>-1217.225008</v>
      </c>
      <c r="AA65" s="14">
        <f t="shared" si="7"/>
        <v>-109779181.5</v>
      </c>
      <c r="AB65" s="14">
        <f t="shared" si="5"/>
        <v>13107.96211</v>
      </c>
      <c r="AC65" s="14">
        <f>(E65+F65+G65+H65)*Drivers!C45</f>
        <v>0</v>
      </c>
      <c r="AD65" s="14">
        <f>IF(A65&lt;=Summary!C18,AB65+IF(A65=Summary!C18,Summary!C40,0),0)</f>
        <v>13107.96211</v>
      </c>
      <c r="AE65" s="14">
        <f>IF(A65&lt;=Summary!C18,Z65+IF(A65=Summary!C18,Summary!C40-Y65,0),0)</f>
        <v>-1217.225008</v>
      </c>
      <c r="AF65" s="14">
        <f>AD65-IF(A65=0,Drivers!C44,0)</f>
        <v>13107.96211</v>
      </c>
      <c r="AG65" s="14">
        <f t="shared" si="8"/>
        <v>-110580464.8</v>
      </c>
    </row>
    <row r="66">
      <c r="A66" s="2">
        <v>64.0</v>
      </c>
      <c r="B66" s="15">
        <f>EDATE(Setup!B2,A66)</f>
        <v>48227</v>
      </c>
      <c r="C66" s="2" t="str">
        <f>IF(A66=0,"T0",IF(A66&lt;=Drivers!C19,"Preconstruction",IF(A66&lt;=(Drivers!C19+Drivers!C20),"Construction","Trading")))</f>
        <v>Trading</v>
      </c>
      <c r="D66" s="12">
        <f t="array" ref="D66">IF(AND(A66&gt;Drivers!C19,A66&lt;=(Drivers!C19+Drivers!C20)),SIN(PI()*(A66-Drivers!C19-0.5)/Drivers!C20)/SUMPRODUCT(SIN(PI()*(SEQUENCE(Drivers!C20,1)-0.5)/Drivers!C20)),0)</f>
        <v>0</v>
      </c>
      <c r="E66" s="14">
        <f>(Summary!C10+Summary!C12)*D66*(1+Drivers!C21)^(A66/12)</f>
        <v>0</v>
      </c>
      <c r="F66" s="14">
        <f>IF(AND(A66&gt;0,A66&lt;=Drivers!C19),Summary!C11*Drivers!C40/Drivers!C19*(1+Drivers!C21)^(A66/12),Summary!C11*(1-Drivers!C40 )*D66*(1+Drivers!C21)^(A66/12))</f>
        <v>0</v>
      </c>
      <c r="G66" s="14">
        <f>IF(AND(A66&gt;0,A66&lt;=2),Drivers!C16/2,0)</f>
        <v>0</v>
      </c>
      <c r="H66" s="14">
        <f>IF(A66=(Drivers!C19+Drivers!C20),Drivers!C17*(1+Drivers!C21)^(A66/12),0)</f>
        <v>0</v>
      </c>
      <c r="I66" s="14">
        <f>IF(AND(A66&gt;0,A66&lt;=(Drivers!C19+Drivers!C20)),Drivers!C18*(1+Drivers!C23)^(A66/12),0)</f>
        <v>0</v>
      </c>
      <c r="J66" s="14">
        <f t="shared" si="1"/>
        <v>0</v>
      </c>
      <c r="K66" s="12">
        <f>IF(A66&gt;(Drivers!C19+Drivers!C20),MIN(1,0.5+0.5*(A66-(Drivers!C19+Drivers!C20))/Drivers!C39),0)</f>
        <v>1</v>
      </c>
      <c r="L66" s="14">
        <f>Drivers!C2*(B66-B65)*Drivers!C24*(1+Drivers!C22)^(A66/12)*Drivers!C25*K66</f>
        <v>619043.524</v>
      </c>
      <c r="M66" s="14">
        <f>L66*Drivers!C26</f>
        <v>123808.7048</v>
      </c>
      <c r="N66" s="14">
        <f>(L66+M66)*Drivers!C27</f>
        <v>259998.2801</v>
      </c>
      <c r="O66" s="14">
        <f>IF(A66&gt;(Drivers!C19+Drivers!C20),Drivers!C28/12*(1+Drivers!C23)^(A66/12),0)</f>
        <v>410887.7764</v>
      </c>
      <c r="P66" s="14">
        <f>(L66+M66)*Drivers!C29</f>
        <v>29714.08915</v>
      </c>
      <c r="Q66" s="14">
        <f>Drivers!C3*Drivers!C30*(1+Drivers!C22)^(A66/12)*Drivers!C31*(1-Drivers!C32 )*K66</f>
        <v>47149.37234</v>
      </c>
      <c r="R66" s="14">
        <f>IF(A66&gt;(Drivers!C19+Drivers!C20),Drivers!C33/12*(1+Drivers!C23)^(A66/12),0)</f>
        <v>61633.16646</v>
      </c>
      <c r="S66" s="14">
        <f t="shared" si="2"/>
        <v>27768.289</v>
      </c>
      <c r="T66" s="14">
        <f t="shared" si="6"/>
        <v>1166723.239</v>
      </c>
      <c r="U66" s="14">
        <f>IF(AND(A66&gt;Drivers!C19,A66&lt;=(Drivers!C19+Drivers!C20)),Summary!C31*D66,0)</f>
        <v>0</v>
      </c>
      <c r="V66" s="14">
        <f>IF(A66&lt;=(Drivers!C19+Drivers!C20),(T66+U66/2)*Drivers!C36/12,T66*Drivers!C36/12)</f>
        <v>11181.09771</v>
      </c>
      <c r="W66" s="14">
        <f>IF(A66&gt;(Drivers!C19+Drivers!C20),MIN(T66,MAX(0,Summary!C32/12-V66)),0)</f>
        <v>3144.089411</v>
      </c>
      <c r="X66" s="14">
        <f>IF(A66=(Drivers!C19+1),Summary!C31*Drivers!C38,0)</f>
        <v>0</v>
      </c>
      <c r="Y66" s="14">
        <f t="shared" si="3"/>
        <v>1163579.15</v>
      </c>
      <c r="Z66" s="14">
        <f t="shared" si="4"/>
        <v>13443.10187</v>
      </c>
      <c r="AA66" s="14">
        <f t="shared" si="7"/>
        <v>-109765738.4</v>
      </c>
      <c r="AB66" s="14">
        <f t="shared" si="5"/>
        <v>27768.289</v>
      </c>
      <c r="AC66" s="14">
        <f>(E66+F66+G66+H66)*Drivers!C45</f>
        <v>0</v>
      </c>
      <c r="AD66" s="14">
        <f>IF(A66&lt;=Summary!C18,AB66+IF(A66=Summary!C18,Summary!C40,0),0)</f>
        <v>27768.289</v>
      </c>
      <c r="AE66" s="14">
        <f>IF(A66&lt;=Summary!C18,Z66+IF(A66=Summary!C18,Summary!C40-Y66,0),0)</f>
        <v>13443.10187</v>
      </c>
      <c r="AF66" s="14">
        <f>AD66-IF(A66=0,Drivers!C44,0)</f>
        <v>27768.289</v>
      </c>
      <c r="AG66" s="14">
        <f t="shared" si="8"/>
        <v>-110552696.5</v>
      </c>
    </row>
    <row r="67">
      <c r="A67" s="2">
        <v>65.0</v>
      </c>
      <c r="B67" s="15">
        <f>EDATE(Setup!B2,A67)</f>
        <v>48258</v>
      </c>
      <c r="C67" s="2" t="str">
        <f>IF(A67=0,"T0",IF(A67&lt;=Drivers!C19,"Preconstruction",IF(A67&lt;=(Drivers!C19+Drivers!C20),"Construction","Trading")))</f>
        <v>Trading</v>
      </c>
      <c r="D67" s="12">
        <f t="array" ref="D67">IF(AND(A67&gt;Drivers!C19,A67&lt;=(Drivers!C19+Drivers!C20)),SIN(PI()*(A67-Drivers!C19-0.5)/Drivers!C20)/SUMPRODUCT(SIN(PI()*(SEQUENCE(Drivers!C20,1)-0.5)/Drivers!C20)),0)</f>
        <v>0</v>
      </c>
      <c r="E67" s="14">
        <f>(Summary!C10+Summary!C12)*D67*(1+Drivers!C21)^(A67/12)</f>
        <v>0</v>
      </c>
      <c r="F67" s="14">
        <f>IF(AND(A67&gt;0,A67&lt;=Drivers!C19),Summary!C11*Drivers!C40/Drivers!C19*(1+Drivers!C21)^(A67/12),Summary!C11*(1-Drivers!C40 )*D67*(1+Drivers!C21)^(A67/12))</f>
        <v>0</v>
      </c>
      <c r="G67" s="14">
        <f>IF(AND(A67&gt;0,A67&lt;=2),Drivers!C16/2,0)</f>
        <v>0</v>
      </c>
      <c r="H67" s="14">
        <f>IF(A67=(Drivers!C19+Drivers!C20),Drivers!C17*(1+Drivers!C21)^(A67/12),0)</f>
        <v>0</v>
      </c>
      <c r="I67" s="14">
        <f>IF(AND(A67&gt;0,A67&lt;=(Drivers!C19+Drivers!C20)),Drivers!C18*(1+Drivers!C23)^(A67/12),0)</f>
        <v>0</v>
      </c>
      <c r="J67" s="14">
        <f t="shared" si="1"/>
        <v>0</v>
      </c>
      <c r="K67" s="12">
        <f>IF(A67&gt;(Drivers!C19+Drivers!C20),MIN(1,0.5+0.5*(A67-(Drivers!C19+Drivers!C20))/Drivers!C39),0)</f>
        <v>1</v>
      </c>
      <c r="L67" s="14">
        <f>Drivers!C2*(B67-B66)*Drivers!C24*(1+Drivers!C22)^(A67/12)*Drivers!C25*K67</f>
        <v>621070.1114</v>
      </c>
      <c r="M67" s="14">
        <f>L67*Drivers!C26</f>
        <v>124214.0223</v>
      </c>
      <c r="N67" s="14">
        <f>(L67+M67)*Drivers!C27</f>
        <v>260849.4468</v>
      </c>
      <c r="O67" s="14">
        <f>IF(A67&gt;(Drivers!C19+Drivers!C20),Drivers!C28/12*(1+Drivers!C23)^(A67/12),0)</f>
        <v>412232.9161</v>
      </c>
      <c r="P67" s="14">
        <f>(L67+M67)*Drivers!C29</f>
        <v>29811.36535</v>
      </c>
      <c r="Q67" s="14">
        <f>Drivers!C3*Drivers!C30*(1+Drivers!C22)^(A67/12)*Drivers!C31*(1-Drivers!C32 )*K67</f>
        <v>47303.72712</v>
      </c>
      <c r="R67" s="14">
        <f>IF(A67&gt;(Drivers!C19+Drivers!C20),Drivers!C33/12*(1+Drivers!C23)^(A67/12),0)</f>
        <v>61834.93741</v>
      </c>
      <c r="S67" s="14">
        <f t="shared" si="2"/>
        <v>27859.19515</v>
      </c>
      <c r="T67" s="14">
        <f t="shared" si="6"/>
        <v>1163579.15</v>
      </c>
      <c r="U67" s="14">
        <f>IF(AND(A67&gt;Drivers!C19,A67&lt;=(Drivers!C19+Drivers!C20)),Summary!C31*D67,0)</f>
        <v>0</v>
      </c>
      <c r="V67" s="14">
        <f>IF(A67&lt;=(Drivers!C19+Drivers!C20),(T67+U67/2)*Drivers!C36/12,T67*Drivers!C36/12)</f>
        <v>11150.96685</v>
      </c>
      <c r="W67" s="14">
        <f>IF(A67&gt;(Drivers!C19+Drivers!C20),MIN(T67,MAX(0,Summary!C32/12-V67)),0)</f>
        <v>3174.220268</v>
      </c>
      <c r="X67" s="14">
        <f>IF(A67=(Drivers!C19+1),Summary!C31*Drivers!C38,0)</f>
        <v>0</v>
      </c>
      <c r="Y67" s="14">
        <f t="shared" si="3"/>
        <v>1160404.93</v>
      </c>
      <c r="Z67" s="14">
        <f t="shared" si="4"/>
        <v>13534.00803</v>
      </c>
      <c r="AA67" s="14">
        <f t="shared" si="7"/>
        <v>-109752204.4</v>
      </c>
      <c r="AB67" s="14">
        <f t="shared" si="5"/>
        <v>27859.19515</v>
      </c>
      <c r="AC67" s="14">
        <f>(E67+F67+G67+H67)*Drivers!C45</f>
        <v>0</v>
      </c>
      <c r="AD67" s="14">
        <f>IF(A67&lt;=Summary!C18,AB67+IF(A67=Summary!C18,Summary!C40,0),0)</f>
        <v>27859.19515</v>
      </c>
      <c r="AE67" s="14">
        <f>IF(A67&lt;=Summary!C18,Z67+IF(A67=Summary!C18,Summary!C40-Y67,0),0)</f>
        <v>13534.00803</v>
      </c>
      <c r="AF67" s="14">
        <f>AD67-IF(A67=0,Drivers!C44,0)</f>
        <v>27859.19515</v>
      </c>
      <c r="AG67" s="14">
        <f t="shared" si="8"/>
        <v>-110524837.3</v>
      </c>
    </row>
    <row r="68">
      <c r="A68" s="2">
        <v>66.0</v>
      </c>
      <c r="B68" s="15">
        <f>EDATE(Setup!B2,A68)</f>
        <v>48287</v>
      </c>
      <c r="C68" s="2" t="str">
        <f>IF(A68=0,"T0",IF(A68&lt;=Drivers!C19,"Preconstruction",IF(A68&lt;=(Drivers!C19+Drivers!C20),"Construction","Trading")))</f>
        <v>Trading</v>
      </c>
      <c r="D68" s="12">
        <f t="array" ref="D68">IF(AND(A68&gt;Drivers!C19,A68&lt;=(Drivers!C19+Drivers!C20)),SIN(PI()*(A68-Drivers!C19-0.5)/Drivers!C20)/SUMPRODUCT(SIN(PI()*(SEQUENCE(Drivers!C20,1)-0.5)/Drivers!C20)),0)</f>
        <v>0</v>
      </c>
      <c r="E68" s="14">
        <f>(Summary!C10+Summary!C12)*D68*(1+Drivers!C21)^(A68/12)</f>
        <v>0</v>
      </c>
      <c r="F68" s="14">
        <f>IF(AND(A68&gt;0,A68&lt;=Drivers!C19),Summary!C11*Drivers!C40/Drivers!C19*(1+Drivers!C21)^(A68/12),Summary!C11*(1-Drivers!C40 )*D68*(1+Drivers!C21)^(A68/12))</f>
        <v>0</v>
      </c>
      <c r="G68" s="14">
        <f>IF(AND(A68&gt;0,A68&lt;=2),Drivers!C16/2,0)</f>
        <v>0</v>
      </c>
      <c r="H68" s="14">
        <f>IF(A68=(Drivers!C19+Drivers!C20),Drivers!C17*(1+Drivers!C21)^(A68/12),0)</f>
        <v>0</v>
      </c>
      <c r="I68" s="14">
        <f>IF(AND(A68&gt;0,A68&lt;=(Drivers!C19+Drivers!C20)),Drivers!C18*(1+Drivers!C23)^(A68/12),0)</f>
        <v>0</v>
      </c>
      <c r="J68" s="14">
        <f t="shared" si="1"/>
        <v>0</v>
      </c>
      <c r="K68" s="12">
        <f>IF(A68&gt;(Drivers!C19+Drivers!C20),MIN(1,0.5+0.5*(A68-(Drivers!C19+Drivers!C20))/Drivers!C39),0)</f>
        <v>1</v>
      </c>
      <c r="L68" s="14">
        <f>Drivers!C2*(B68-B67)*Drivers!C24*(1+Drivers!C22)^(A68/12)*Drivers!C25*K68</f>
        <v>582903.1182</v>
      </c>
      <c r="M68" s="14">
        <f>L68*Drivers!C26</f>
        <v>116580.6236</v>
      </c>
      <c r="N68" s="14">
        <f>(L68+M68)*Drivers!C27</f>
        <v>244819.3097</v>
      </c>
      <c r="O68" s="14">
        <f>IF(A68&gt;(Drivers!C19+Drivers!C20),Drivers!C28/12*(1+Drivers!C23)^(A68/12),0)</f>
        <v>413582.4594</v>
      </c>
      <c r="P68" s="14">
        <f>(L68+M68)*Drivers!C29</f>
        <v>27979.34968</v>
      </c>
      <c r="Q68" s="14">
        <f>Drivers!C3*Drivers!C30*(1+Drivers!C22)^(A68/12)*Drivers!C31*(1-Drivers!C32 )*K68</f>
        <v>47458.58721</v>
      </c>
      <c r="R68" s="14">
        <f>IF(A68&gt;(Drivers!C19+Drivers!C20),Drivers!C33/12*(1+Drivers!C23)^(A68/12),0)</f>
        <v>62037.36891</v>
      </c>
      <c r="S68" s="14">
        <f t="shared" si="2"/>
        <v>-1476.158514</v>
      </c>
      <c r="T68" s="14">
        <f t="shared" si="6"/>
        <v>1160404.93</v>
      </c>
      <c r="U68" s="14">
        <f>IF(AND(A68&gt;Drivers!C19,A68&lt;=(Drivers!C19+Drivers!C20)),Summary!C31*D68,0)</f>
        <v>0</v>
      </c>
      <c r="V68" s="14">
        <f>IF(A68&lt;=(Drivers!C19+Drivers!C20),(T68+U68/2)*Drivers!C36/12,T68*Drivers!C36/12)</f>
        <v>11120.54724</v>
      </c>
      <c r="W68" s="14">
        <f>IF(A68&gt;(Drivers!C19+Drivers!C20),MIN(T68,MAX(0,Summary!C32/12-V68)),0)</f>
        <v>3204.639879</v>
      </c>
      <c r="X68" s="14">
        <f>IF(A68=(Drivers!C19+1),Summary!C31*Drivers!C38,0)</f>
        <v>0</v>
      </c>
      <c r="Y68" s="14">
        <f t="shared" si="3"/>
        <v>1157200.29</v>
      </c>
      <c r="Z68" s="14">
        <f t="shared" si="4"/>
        <v>-15801.34564</v>
      </c>
      <c r="AA68" s="14">
        <f t="shared" si="7"/>
        <v>-109768005.8</v>
      </c>
      <c r="AB68" s="14">
        <f t="shared" si="5"/>
        <v>-1476.158514</v>
      </c>
      <c r="AC68" s="14">
        <f>(E68+F68+G68+H68)*Drivers!C45</f>
        <v>0</v>
      </c>
      <c r="AD68" s="14">
        <f>IF(A68&lt;=Summary!C18,AB68+IF(A68=Summary!C18,Summary!C40,0),0)</f>
        <v>-1476.158514</v>
      </c>
      <c r="AE68" s="14">
        <f>IF(A68&lt;=Summary!C18,Z68+IF(A68=Summary!C18,Summary!C40-Y68,0),0)</f>
        <v>-15801.34564</v>
      </c>
      <c r="AF68" s="14">
        <f>AD68-IF(A68=0,Drivers!C44,0)</f>
        <v>-1476.158514</v>
      </c>
      <c r="AG68" s="14">
        <f t="shared" si="8"/>
        <v>-110526313.5</v>
      </c>
    </row>
    <row r="69">
      <c r="A69" s="2">
        <v>67.0</v>
      </c>
      <c r="B69" s="15">
        <f>EDATE(Setup!B2,A69)</f>
        <v>48318</v>
      </c>
      <c r="C69" s="2" t="str">
        <f>IF(A69=0,"T0",IF(A69&lt;=Drivers!C19,"Preconstruction",IF(A69&lt;=(Drivers!C19+Drivers!C20),"Construction","Trading")))</f>
        <v>Trading</v>
      </c>
      <c r="D69" s="12">
        <f t="array" ref="D69">IF(AND(A69&gt;Drivers!C19,A69&lt;=(Drivers!C19+Drivers!C20)),SIN(PI()*(A69-Drivers!C19-0.5)/Drivers!C20)/SUMPRODUCT(SIN(PI()*(SEQUENCE(Drivers!C20,1)-0.5)/Drivers!C20)),0)</f>
        <v>0</v>
      </c>
      <c r="E69" s="14">
        <f>(Summary!C10+Summary!C12)*D69*(1+Drivers!C21)^(A69/12)</f>
        <v>0</v>
      </c>
      <c r="F69" s="14">
        <f>IF(AND(A69&gt;0,A69&lt;=Drivers!C19),Summary!C11*Drivers!C40/Drivers!C19*(1+Drivers!C21)^(A69/12),Summary!C11*(1-Drivers!C40 )*D69*(1+Drivers!C21)^(A69/12))</f>
        <v>0</v>
      </c>
      <c r="G69" s="14">
        <f>IF(AND(A69&gt;0,A69&lt;=2),Drivers!C16/2,0)</f>
        <v>0</v>
      </c>
      <c r="H69" s="14">
        <f>IF(A69=(Drivers!C19+Drivers!C20),Drivers!C17*(1+Drivers!C21)^(A69/12),0)</f>
        <v>0</v>
      </c>
      <c r="I69" s="14">
        <f>IF(AND(A69&gt;0,A69&lt;=(Drivers!C19+Drivers!C20)),Drivers!C18*(1+Drivers!C23)^(A69/12),0)</f>
        <v>0</v>
      </c>
      <c r="J69" s="14">
        <f t="shared" si="1"/>
        <v>0</v>
      </c>
      <c r="K69" s="12">
        <f>IF(A69&gt;(Drivers!C19+Drivers!C20),MIN(1,0.5+0.5*(A69-(Drivers!C19+Drivers!C20))/Drivers!C39),0)</f>
        <v>1</v>
      </c>
      <c r="L69" s="14">
        <f>Drivers!C2*(B69-B68)*Drivers!C24*(1+Drivers!C22)^(A69/12)*Drivers!C25*K69</f>
        <v>625143.2115</v>
      </c>
      <c r="M69" s="14">
        <f>L69*Drivers!C26</f>
        <v>125028.6423</v>
      </c>
      <c r="N69" s="14">
        <f>(L69+M69)*Drivers!C27</f>
        <v>262560.1488</v>
      </c>
      <c r="O69" s="14">
        <f>IF(A69&gt;(Drivers!C19+Drivers!C20),Drivers!C28/12*(1+Drivers!C23)^(A69/12),0)</f>
        <v>414936.4207</v>
      </c>
      <c r="P69" s="14">
        <f>(L69+M69)*Drivers!C29</f>
        <v>30006.87415</v>
      </c>
      <c r="Q69" s="14">
        <f>Drivers!C3*Drivers!C30*(1+Drivers!C22)^(A69/12)*Drivers!C31*(1-Drivers!C32 )*K69</f>
        <v>47613.95428</v>
      </c>
      <c r="R69" s="14">
        <f>IF(A69&gt;(Drivers!C19+Drivers!C20),Drivers!C33/12*(1+Drivers!C23)^(A69/12),0)</f>
        <v>62240.46311</v>
      </c>
      <c r="S69" s="14">
        <f t="shared" si="2"/>
        <v>28041.90124</v>
      </c>
      <c r="T69" s="14">
        <f t="shared" si="6"/>
        <v>1157200.29</v>
      </c>
      <c r="U69" s="14">
        <f>IF(AND(A69&gt;Drivers!C19,A69&lt;=(Drivers!C19+Drivers!C20)),Summary!C31*D69,0)</f>
        <v>0</v>
      </c>
      <c r="V69" s="14">
        <f>IF(A69&lt;=(Drivers!C19+Drivers!C20),(T69+U69/2)*Drivers!C36/12,T69*Drivers!C36/12)</f>
        <v>11089.83611</v>
      </c>
      <c r="W69" s="14">
        <f>IF(A69&gt;(Drivers!C19+Drivers!C20),MIN(T69,MAX(0,Summary!C32/12-V69)),0)</f>
        <v>3235.351011</v>
      </c>
      <c r="X69" s="14">
        <f>IF(A69=(Drivers!C19+1),Summary!C31*Drivers!C38,0)</f>
        <v>0</v>
      </c>
      <c r="Y69" s="14">
        <f t="shared" si="3"/>
        <v>1153964.939</v>
      </c>
      <c r="Z69" s="14">
        <f t="shared" si="4"/>
        <v>13716.71411</v>
      </c>
      <c r="AA69" s="14">
        <f t="shared" si="7"/>
        <v>-109754289.1</v>
      </c>
      <c r="AB69" s="14">
        <f t="shared" si="5"/>
        <v>28041.90124</v>
      </c>
      <c r="AC69" s="14">
        <f>(E69+F69+G69+H69)*Drivers!C45</f>
        <v>0</v>
      </c>
      <c r="AD69" s="14">
        <f>IF(A69&lt;=Summary!C18,AB69+IF(A69=Summary!C18,Summary!C40,0),0)</f>
        <v>28041.90124</v>
      </c>
      <c r="AE69" s="14">
        <f>IF(A69&lt;=Summary!C18,Z69+IF(A69=Summary!C18,Summary!C40-Y69,0),0)</f>
        <v>13716.71411</v>
      </c>
      <c r="AF69" s="14">
        <f>AD69-IF(A69=0,Drivers!C44,0)</f>
        <v>28041.90124</v>
      </c>
      <c r="AG69" s="14">
        <f t="shared" si="8"/>
        <v>-110498271.5</v>
      </c>
    </row>
    <row r="70">
      <c r="A70" s="2">
        <v>68.0</v>
      </c>
      <c r="B70" s="15">
        <f>EDATE(Setup!B2,A70)</f>
        <v>48348</v>
      </c>
      <c r="C70" s="2" t="str">
        <f>IF(A70=0,"T0",IF(A70&lt;=Drivers!C19,"Preconstruction",IF(A70&lt;=(Drivers!C19+Drivers!C20),"Construction","Trading")))</f>
        <v>Trading</v>
      </c>
      <c r="D70" s="12">
        <f t="array" ref="D70">IF(AND(A70&gt;Drivers!C19,A70&lt;=(Drivers!C19+Drivers!C20)),SIN(PI()*(A70-Drivers!C19-0.5)/Drivers!C20)/SUMPRODUCT(SIN(PI()*(SEQUENCE(Drivers!C20,1)-0.5)/Drivers!C20)),0)</f>
        <v>0</v>
      </c>
      <c r="E70" s="14">
        <f>(Summary!C10+Summary!C12)*D70*(1+Drivers!C21)^(A70/12)</f>
        <v>0</v>
      </c>
      <c r="F70" s="14">
        <f>IF(AND(A70&gt;0,A70&lt;=Drivers!C19),Summary!C11*Drivers!C40/Drivers!C19*(1+Drivers!C21)^(A70/12),Summary!C11*(1-Drivers!C40 )*D70*(1+Drivers!C21)^(A70/12))</f>
        <v>0</v>
      </c>
      <c r="G70" s="14">
        <f>IF(AND(A70&gt;0,A70&lt;=2),Drivers!C16/2,0)</f>
        <v>0</v>
      </c>
      <c r="H70" s="14">
        <f>IF(A70=(Drivers!C19+Drivers!C20),Drivers!C17*(1+Drivers!C21)^(A70/12),0)</f>
        <v>0</v>
      </c>
      <c r="I70" s="14">
        <f>IF(AND(A70&gt;0,A70&lt;=(Drivers!C19+Drivers!C20)),Drivers!C18*(1+Drivers!C23)^(A70/12),0)</f>
        <v>0</v>
      </c>
      <c r="J70" s="14">
        <f t="shared" si="1"/>
        <v>0</v>
      </c>
      <c r="K70" s="12">
        <f>IF(A70&gt;(Drivers!C19+Drivers!C20),MIN(1,0.5+0.5*(A70-(Drivers!C19+Drivers!C20))/Drivers!C39),0)</f>
        <v>1</v>
      </c>
      <c r="L70" s="14">
        <f>Drivers!C2*(B70-B69)*Drivers!C24*(1+Drivers!C22)^(A70/12)*Drivers!C25*K70</f>
        <v>606957.8397</v>
      </c>
      <c r="M70" s="14">
        <f>L70*Drivers!C26</f>
        <v>121391.5679</v>
      </c>
      <c r="N70" s="14">
        <f>(L70+M70)*Drivers!C27</f>
        <v>254922.2927</v>
      </c>
      <c r="O70" s="14">
        <f>IF(A70&gt;(Drivers!C19+Drivers!C20),Drivers!C28/12*(1+Drivers!C23)^(A70/12),0)</f>
        <v>416294.8146</v>
      </c>
      <c r="P70" s="14">
        <f>(L70+M70)*Drivers!C29</f>
        <v>29133.9763</v>
      </c>
      <c r="Q70" s="14">
        <f>Drivers!C3*Drivers!C30*(1+Drivers!C22)^(A70/12)*Drivers!C31*(1-Drivers!C32 )*K70</f>
        <v>47769.82997</v>
      </c>
      <c r="R70" s="14">
        <f>IF(A70&gt;(Drivers!C19+Drivers!C20),Drivers!C33/12*(1+Drivers!C23)^(A70/12),0)</f>
        <v>62444.22219</v>
      </c>
      <c r="S70" s="14">
        <f t="shared" si="2"/>
        <v>13323.93184</v>
      </c>
      <c r="T70" s="14">
        <f t="shared" si="6"/>
        <v>1153964.939</v>
      </c>
      <c r="U70" s="14">
        <f>IF(AND(A70&gt;Drivers!C19,A70&lt;=(Drivers!C19+Drivers!C20)),Summary!C31*D70,0)</f>
        <v>0</v>
      </c>
      <c r="V70" s="14">
        <f>IF(A70&lt;=(Drivers!C19+Drivers!C20),(T70+U70/2)*Drivers!C36/12,T70*Drivers!C36/12)</f>
        <v>11058.83066</v>
      </c>
      <c r="W70" s="14">
        <f>IF(A70&gt;(Drivers!C19+Drivers!C20),MIN(T70,MAX(0,Summary!C32/12-V70)),0)</f>
        <v>3266.356458</v>
      </c>
      <c r="X70" s="14">
        <f>IF(A70=(Drivers!C19+1),Summary!C31*Drivers!C38,0)</f>
        <v>0</v>
      </c>
      <c r="Y70" s="14">
        <f t="shared" si="3"/>
        <v>1150698.582</v>
      </c>
      <c r="Z70" s="14">
        <f t="shared" si="4"/>
        <v>-1001.255287</v>
      </c>
      <c r="AA70" s="14">
        <f t="shared" si="7"/>
        <v>-109755290.3</v>
      </c>
      <c r="AB70" s="14">
        <f t="shared" si="5"/>
        <v>13323.93184</v>
      </c>
      <c r="AC70" s="14">
        <f>(E70+F70+G70+H70)*Drivers!C45</f>
        <v>0</v>
      </c>
      <c r="AD70" s="14">
        <f>IF(A70&lt;=Summary!C18,AB70+IF(A70=Summary!C18,Summary!C40,0),0)</f>
        <v>13323.93184</v>
      </c>
      <c r="AE70" s="14">
        <f>IF(A70&lt;=Summary!C18,Z70+IF(A70=Summary!C18,Summary!C40-Y70,0),0)</f>
        <v>-1001.255287</v>
      </c>
      <c r="AF70" s="14">
        <f>AD70-IF(A70=0,Drivers!C44,0)</f>
        <v>13323.93184</v>
      </c>
      <c r="AG70" s="14">
        <f t="shared" si="8"/>
        <v>-110484947.6</v>
      </c>
    </row>
    <row r="71">
      <c r="A71" s="2">
        <v>69.0</v>
      </c>
      <c r="B71" s="15">
        <f>EDATE(Setup!B2,A71)</f>
        <v>48379</v>
      </c>
      <c r="C71" s="2" t="str">
        <f>IF(A71=0,"T0",IF(A71&lt;=Drivers!C19,"Preconstruction",IF(A71&lt;=(Drivers!C19+Drivers!C20),"Construction","Trading")))</f>
        <v>Trading</v>
      </c>
      <c r="D71" s="12">
        <f t="array" ref="D71">IF(AND(A71&gt;Drivers!C19,A71&lt;=(Drivers!C19+Drivers!C20)),SIN(PI()*(A71-Drivers!C19-0.5)/Drivers!C20)/SUMPRODUCT(SIN(PI()*(SEQUENCE(Drivers!C20,1)-0.5)/Drivers!C20)),0)</f>
        <v>0</v>
      </c>
      <c r="E71" s="14">
        <f>(Summary!C10+Summary!C12)*D71*(1+Drivers!C21)^(A71/12)</f>
        <v>0</v>
      </c>
      <c r="F71" s="14">
        <f>IF(AND(A71&gt;0,A71&lt;=Drivers!C19),Summary!C11*Drivers!C40/Drivers!C19*(1+Drivers!C21)^(A71/12),Summary!C11*(1-Drivers!C40 )*D71*(1+Drivers!C21)^(A71/12))</f>
        <v>0</v>
      </c>
      <c r="G71" s="14">
        <f>IF(AND(A71&gt;0,A71&lt;=2),Drivers!C16/2,0)</f>
        <v>0</v>
      </c>
      <c r="H71" s="14">
        <f>IF(A71=(Drivers!C19+Drivers!C20),Drivers!C17*(1+Drivers!C21)^(A71/12),0)</f>
        <v>0</v>
      </c>
      <c r="I71" s="14">
        <f>IF(AND(A71&gt;0,A71&lt;=(Drivers!C19+Drivers!C20)),Drivers!C18*(1+Drivers!C23)^(A71/12),0)</f>
        <v>0</v>
      </c>
      <c r="J71" s="14">
        <f t="shared" si="1"/>
        <v>0</v>
      </c>
      <c r="K71" s="12">
        <f>IF(A71&gt;(Drivers!C19+Drivers!C20),MIN(1,0.5+0.5*(A71-(Drivers!C19+Drivers!C20))/Drivers!C39),0)</f>
        <v>1</v>
      </c>
      <c r="L71" s="14">
        <f>Drivers!C2*(B71-B70)*Drivers!C24*(1+Drivers!C22)^(A71/12)*Drivers!C25*K71</f>
        <v>629243.0238</v>
      </c>
      <c r="M71" s="14">
        <f>L71*Drivers!C26</f>
        <v>125848.6048</v>
      </c>
      <c r="N71" s="14">
        <f>(L71+M71)*Drivers!C27</f>
        <v>264282.07</v>
      </c>
      <c r="O71" s="14">
        <f>IF(A71&gt;(Drivers!C19+Drivers!C20),Drivers!C28/12*(1+Drivers!C23)^(A71/12),0)</f>
        <v>417657.6555</v>
      </c>
      <c r="P71" s="14">
        <f>(L71+M71)*Drivers!C29</f>
        <v>30203.66514</v>
      </c>
      <c r="Q71" s="14">
        <f>Drivers!C3*Drivers!C30*(1+Drivers!C22)^(A71/12)*Drivers!C31*(1-Drivers!C32 )*K71</f>
        <v>47926.21597</v>
      </c>
      <c r="R71" s="14">
        <f>IF(A71&gt;(Drivers!C19+Drivers!C20),Drivers!C33/12*(1+Drivers!C23)^(A71/12),0)</f>
        <v>62648.64832</v>
      </c>
      <c r="S71" s="14">
        <f t="shared" si="2"/>
        <v>28225.80555</v>
      </c>
      <c r="T71" s="14">
        <f t="shared" si="6"/>
        <v>1150698.582</v>
      </c>
      <c r="U71" s="14">
        <f>IF(AND(A71&gt;Drivers!C19,A71&lt;=(Drivers!C19+Drivers!C20)),Summary!C31*D71,0)</f>
        <v>0</v>
      </c>
      <c r="V71" s="14">
        <f>IF(A71&lt;=(Drivers!C19+Drivers!C20),(T71+U71/2)*Drivers!C36/12,T71*Drivers!C36/12)</f>
        <v>11027.52808</v>
      </c>
      <c r="W71" s="14">
        <f>IF(A71&gt;(Drivers!C19+Drivers!C20),MIN(T71,MAX(0,Summary!C32/12-V71)),0)</f>
        <v>3297.659041</v>
      </c>
      <c r="X71" s="14">
        <f>IF(A71=(Drivers!C19+1),Summary!C31*Drivers!C38,0)</f>
        <v>0</v>
      </c>
      <c r="Y71" s="14">
        <f t="shared" si="3"/>
        <v>1147400.923</v>
      </c>
      <c r="Z71" s="14">
        <f t="shared" si="4"/>
        <v>13900.61842</v>
      </c>
      <c r="AA71" s="14">
        <f t="shared" si="7"/>
        <v>-109741389.7</v>
      </c>
      <c r="AB71" s="14">
        <f t="shared" si="5"/>
        <v>28225.80555</v>
      </c>
      <c r="AC71" s="14">
        <f>(E71+F71+G71+H71)*Drivers!C45</f>
        <v>0</v>
      </c>
      <c r="AD71" s="14">
        <f>IF(A71&lt;=Summary!C18,AB71+IF(A71=Summary!C18,Summary!C40,0),0)</f>
        <v>28225.80555</v>
      </c>
      <c r="AE71" s="14">
        <f>IF(A71&lt;=Summary!C18,Z71+IF(A71=Summary!C18,Summary!C40-Y71,0),0)</f>
        <v>13900.61842</v>
      </c>
      <c r="AF71" s="14">
        <f>AD71-IF(A71=0,Drivers!C44,0)</f>
        <v>28225.80555</v>
      </c>
      <c r="AG71" s="14">
        <f t="shared" si="8"/>
        <v>-110456721.8</v>
      </c>
    </row>
    <row r="72">
      <c r="A72" s="2">
        <v>70.0</v>
      </c>
      <c r="B72" s="15">
        <f>EDATE(Setup!B2,A72)</f>
        <v>48409</v>
      </c>
      <c r="C72" s="2" t="str">
        <f>IF(A72=0,"T0",IF(A72&lt;=Drivers!C19,"Preconstruction",IF(A72&lt;=(Drivers!C19+Drivers!C20),"Construction","Trading")))</f>
        <v>Trading</v>
      </c>
      <c r="D72" s="12">
        <f t="array" ref="D72">IF(AND(A72&gt;Drivers!C19,A72&lt;=(Drivers!C19+Drivers!C20)),SIN(PI()*(A72-Drivers!C19-0.5)/Drivers!C20)/SUMPRODUCT(SIN(PI()*(SEQUENCE(Drivers!C20,1)-0.5)/Drivers!C20)),0)</f>
        <v>0</v>
      </c>
      <c r="E72" s="14">
        <f>(Summary!C10+Summary!C12)*D72*(1+Drivers!C21)^(A72/12)</f>
        <v>0</v>
      </c>
      <c r="F72" s="14">
        <f>IF(AND(A72&gt;0,A72&lt;=Drivers!C19),Summary!C11*Drivers!C40/Drivers!C19*(1+Drivers!C21)^(A72/12),Summary!C11*(1-Drivers!C40 )*D72*(1+Drivers!C21)^(A72/12))</f>
        <v>0</v>
      </c>
      <c r="G72" s="14">
        <f>IF(AND(A72&gt;0,A72&lt;=2),Drivers!C16/2,0)</f>
        <v>0</v>
      </c>
      <c r="H72" s="14">
        <f>IF(A72=(Drivers!C19+Drivers!C20),Drivers!C17*(1+Drivers!C21)^(A72/12),0)</f>
        <v>0</v>
      </c>
      <c r="I72" s="14">
        <f>IF(AND(A72&gt;0,A72&lt;=(Drivers!C19+Drivers!C20)),Drivers!C18*(1+Drivers!C23)^(A72/12),0)</f>
        <v>0</v>
      </c>
      <c r="J72" s="14">
        <f t="shared" si="1"/>
        <v>0</v>
      </c>
      <c r="K72" s="12">
        <f>IF(A72&gt;(Drivers!C19+Drivers!C20),MIN(1,0.5+0.5*(A72-(Drivers!C19+Drivers!C20))/Drivers!C39),0)</f>
        <v>1</v>
      </c>
      <c r="L72" s="14">
        <f>Drivers!C2*(B72-B71)*Drivers!C24*(1+Drivers!C22)^(A72/12)*Drivers!C25*K72</f>
        <v>610938.3887</v>
      </c>
      <c r="M72" s="14">
        <f>L72*Drivers!C26</f>
        <v>122187.6777</v>
      </c>
      <c r="N72" s="14">
        <f>(L72+M72)*Drivers!C27</f>
        <v>256594.1233</v>
      </c>
      <c r="O72" s="14">
        <f>IF(A72&gt;(Drivers!C19+Drivers!C20),Drivers!C28/12*(1+Drivers!C23)^(A72/12),0)</f>
        <v>419024.958</v>
      </c>
      <c r="P72" s="14">
        <f>(L72+M72)*Drivers!C29</f>
        <v>29325.04266</v>
      </c>
      <c r="Q72" s="14">
        <f>Drivers!C3*Drivers!C30*(1+Drivers!C22)^(A72/12)*Drivers!C31*(1-Drivers!C32 )*K72</f>
        <v>48083.11393</v>
      </c>
      <c r="R72" s="14">
        <f>IF(A72&gt;(Drivers!C19+Drivers!C20),Drivers!C33/12*(1+Drivers!C23)^(A72/12),0)</f>
        <v>62853.7437</v>
      </c>
      <c r="S72" s="14">
        <f t="shared" si="2"/>
        <v>13411.3128</v>
      </c>
      <c r="T72" s="14">
        <f t="shared" si="6"/>
        <v>1147400.923</v>
      </c>
      <c r="U72" s="14">
        <f>IF(AND(A72&gt;Drivers!C19,A72&lt;=(Drivers!C19+Drivers!C20)),Summary!C31*D72,0)</f>
        <v>0</v>
      </c>
      <c r="V72" s="14">
        <f>IF(A72&lt;=(Drivers!C19+Drivers!C20),(T72+U72/2)*Drivers!C36/12,T72*Drivers!C36/12)</f>
        <v>10995.92552</v>
      </c>
      <c r="W72" s="14">
        <f>IF(A72&gt;(Drivers!C19+Drivers!C20),MIN(T72,MAX(0,Summary!C32/12-V72)),0)</f>
        <v>3329.261607</v>
      </c>
      <c r="X72" s="14">
        <f>IF(A72=(Drivers!C19+1),Summary!C31*Drivers!C38,0)</f>
        <v>0</v>
      </c>
      <c r="Y72" s="14">
        <f t="shared" si="3"/>
        <v>1144071.662</v>
      </c>
      <c r="Z72" s="14">
        <f t="shared" si="4"/>
        <v>-913.874318</v>
      </c>
      <c r="AA72" s="14">
        <f t="shared" si="7"/>
        <v>-109742303.6</v>
      </c>
      <c r="AB72" s="14">
        <f t="shared" si="5"/>
        <v>13411.3128</v>
      </c>
      <c r="AC72" s="14">
        <f>(E72+F72+G72+H72)*Drivers!C45</f>
        <v>0</v>
      </c>
      <c r="AD72" s="14">
        <f>IF(A72&lt;=Summary!C18,AB72+IF(A72=Summary!C18,Summary!C40,0),0)</f>
        <v>13411.3128</v>
      </c>
      <c r="AE72" s="14">
        <f>IF(A72&lt;=Summary!C18,Z72+IF(A72=Summary!C18,Summary!C40-Y72,0),0)</f>
        <v>-913.874318</v>
      </c>
      <c r="AF72" s="14">
        <f>AD72-IF(A72=0,Drivers!C44,0)</f>
        <v>13411.3128</v>
      </c>
      <c r="AG72" s="14">
        <f t="shared" si="8"/>
        <v>-110443310.5</v>
      </c>
    </row>
    <row r="73">
      <c r="A73" s="2">
        <v>71.0</v>
      </c>
      <c r="B73" s="15">
        <f>EDATE(Setup!B2,A73)</f>
        <v>48440</v>
      </c>
      <c r="C73" s="2" t="str">
        <f>IF(A73=0,"T0",IF(A73&lt;=Drivers!C19,"Preconstruction",IF(A73&lt;=(Drivers!C19+Drivers!C20),"Construction","Trading")))</f>
        <v>Trading</v>
      </c>
      <c r="D73" s="12">
        <f t="array" ref="D73">IF(AND(A73&gt;Drivers!C19,A73&lt;=(Drivers!C19+Drivers!C20)),SIN(PI()*(A73-Drivers!C19-0.5)/Drivers!C20)/SUMPRODUCT(SIN(PI()*(SEQUENCE(Drivers!C20,1)-0.5)/Drivers!C20)),0)</f>
        <v>0</v>
      </c>
      <c r="E73" s="14">
        <f>(Summary!C10+Summary!C12)*D73*(1+Drivers!C21)^(A73/12)</f>
        <v>0</v>
      </c>
      <c r="F73" s="14">
        <f>IF(AND(A73&gt;0,A73&lt;=Drivers!C19),Summary!C11*Drivers!C40/Drivers!C19*(1+Drivers!C21)^(A73/12),Summary!C11*(1-Drivers!C40 )*D73*(1+Drivers!C21)^(A73/12))</f>
        <v>0</v>
      </c>
      <c r="G73" s="14">
        <f>IF(AND(A73&gt;0,A73&lt;=2),Drivers!C16/2,0)</f>
        <v>0</v>
      </c>
      <c r="H73" s="14">
        <f>IF(A73=(Drivers!C19+Drivers!C20),Drivers!C17*(1+Drivers!C21)^(A73/12),0)</f>
        <v>0</v>
      </c>
      <c r="I73" s="14">
        <f>IF(AND(A73&gt;0,A73&lt;=(Drivers!C19+Drivers!C20)),Drivers!C18*(1+Drivers!C23)^(A73/12),0)</f>
        <v>0</v>
      </c>
      <c r="J73" s="14">
        <f t="shared" si="1"/>
        <v>0</v>
      </c>
      <c r="K73" s="12">
        <f>IF(A73&gt;(Drivers!C19+Drivers!C20),MIN(1,0.5+0.5*(A73-(Drivers!C19+Drivers!C20))/Drivers!C39),0)</f>
        <v>1</v>
      </c>
      <c r="L73" s="14">
        <f>Drivers!C2*(B73-B72)*Drivers!C24*(1+Drivers!C22)^(A73/12)*Drivers!C25*K73</f>
        <v>633369.7234</v>
      </c>
      <c r="M73" s="14">
        <f>L73*Drivers!C26</f>
        <v>126673.9447</v>
      </c>
      <c r="N73" s="14">
        <f>(L73+M73)*Drivers!C27</f>
        <v>266015.2838</v>
      </c>
      <c r="O73" s="14">
        <f>IF(A73&gt;(Drivers!C19+Drivers!C20),Drivers!C28/12*(1+Drivers!C23)^(A73/12),0)</f>
        <v>420396.7366</v>
      </c>
      <c r="P73" s="14">
        <f>(L73+M73)*Drivers!C29</f>
        <v>30401.74672</v>
      </c>
      <c r="Q73" s="14">
        <f>Drivers!C3*Drivers!C30*(1+Drivers!C22)^(A73/12)*Drivers!C31*(1-Drivers!C32 )*K73</f>
        <v>48240.52553</v>
      </c>
      <c r="R73" s="14">
        <f>IF(A73&gt;(Drivers!C19+Drivers!C20),Drivers!C33/12*(1+Drivers!C23)^(A73/12),0)</f>
        <v>63059.5105</v>
      </c>
      <c r="S73" s="14">
        <f t="shared" si="2"/>
        <v>28410.91594</v>
      </c>
      <c r="T73" s="14">
        <f t="shared" si="6"/>
        <v>1144071.662</v>
      </c>
      <c r="U73" s="14">
        <f>IF(AND(A73&gt;Drivers!C19,A73&lt;=(Drivers!C19+Drivers!C20)),Summary!C31*D73,0)</f>
        <v>0</v>
      </c>
      <c r="V73" s="14">
        <f>IF(A73&lt;=(Drivers!C19+Drivers!C20),(T73+U73/2)*Drivers!C36/12,T73*Drivers!C36/12)</f>
        <v>10964.02009</v>
      </c>
      <c r="W73" s="14">
        <f>IF(A73&gt;(Drivers!C19+Drivers!C20),MIN(T73,MAX(0,Summary!C32/12-V73)),0)</f>
        <v>3361.16703</v>
      </c>
      <c r="X73" s="14">
        <f>IF(A73=(Drivers!C19+1),Summary!C31*Drivers!C38,0)</f>
        <v>0</v>
      </c>
      <c r="Y73" s="14">
        <f t="shared" si="3"/>
        <v>1140710.495</v>
      </c>
      <c r="Z73" s="14">
        <f t="shared" si="4"/>
        <v>14085.72882</v>
      </c>
      <c r="AA73" s="14">
        <f t="shared" si="7"/>
        <v>-109728217.9</v>
      </c>
      <c r="AB73" s="14">
        <f t="shared" si="5"/>
        <v>28410.91594</v>
      </c>
      <c r="AC73" s="14">
        <f>(E73+F73+G73+H73)*Drivers!C45</f>
        <v>0</v>
      </c>
      <c r="AD73" s="14">
        <f>IF(A73&lt;=Summary!C18,AB73+IF(A73=Summary!C18,Summary!C40,0),0)</f>
        <v>28410.91594</v>
      </c>
      <c r="AE73" s="14">
        <f>IF(A73&lt;=Summary!C18,Z73+IF(A73=Summary!C18,Summary!C40-Y73,0),0)</f>
        <v>14085.72882</v>
      </c>
      <c r="AF73" s="14">
        <f>AD73-IF(A73=0,Drivers!C44,0)</f>
        <v>28410.91594</v>
      </c>
      <c r="AG73" s="14">
        <f t="shared" si="8"/>
        <v>-110414899.6</v>
      </c>
    </row>
    <row r="74">
      <c r="A74" s="2">
        <v>72.0</v>
      </c>
      <c r="B74" s="15">
        <f>EDATE(Setup!B2,A74)</f>
        <v>48471</v>
      </c>
      <c r="C74" s="2" t="str">
        <f>IF(A74=0,"T0",IF(A74&lt;=Drivers!C19,"Preconstruction",IF(A74&lt;=(Drivers!C19+Drivers!C20),"Construction","Trading")))</f>
        <v>Trading</v>
      </c>
      <c r="D74" s="12">
        <f t="array" ref="D74">IF(AND(A74&gt;Drivers!C19,A74&lt;=(Drivers!C19+Drivers!C20)),SIN(PI()*(A74-Drivers!C19-0.5)/Drivers!C20)/SUMPRODUCT(SIN(PI()*(SEQUENCE(Drivers!C20,1)-0.5)/Drivers!C20)),0)</f>
        <v>0</v>
      </c>
      <c r="E74" s="14">
        <f>(Summary!C10+Summary!C12)*D74*(1+Drivers!C21)^(A74/12)</f>
        <v>0</v>
      </c>
      <c r="F74" s="14">
        <f>IF(AND(A74&gt;0,A74&lt;=Drivers!C19),Summary!C11*Drivers!C40/Drivers!C19*(1+Drivers!C21)^(A74/12),Summary!C11*(1-Drivers!C40 )*D74*(1+Drivers!C21)^(A74/12))</f>
        <v>0</v>
      </c>
      <c r="G74" s="14">
        <f>IF(AND(A74&gt;0,A74&lt;=2),Drivers!C16/2,0)</f>
        <v>0</v>
      </c>
      <c r="H74" s="14">
        <f>IF(A74=(Drivers!C19+Drivers!C20),Drivers!C17*(1+Drivers!C21)^(A74/12),0)</f>
        <v>0</v>
      </c>
      <c r="I74" s="14">
        <f>IF(AND(A74&gt;0,A74&lt;=(Drivers!C19+Drivers!C20)),Drivers!C18*(1+Drivers!C23)^(A74/12),0)</f>
        <v>0</v>
      </c>
      <c r="J74" s="14">
        <f t="shared" si="1"/>
        <v>0</v>
      </c>
      <c r="K74" s="12">
        <f>IF(A74&gt;(Drivers!C19+Drivers!C20),MIN(1,0.5+0.5*(A74-(Drivers!C19+Drivers!C20))/Drivers!C39),0)</f>
        <v>1</v>
      </c>
      <c r="L74" s="14">
        <f>Drivers!C2*(B74-B73)*Drivers!C24*(1+Drivers!C22)^(A74/12)*Drivers!C25*K74</f>
        <v>635443.2111</v>
      </c>
      <c r="M74" s="14">
        <f>L74*Drivers!C26</f>
        <v>127088.6422</v>
      </c>
      <c r="N74" s="14">
        <f>(L74+M74)*Drivers!C27</f>
        <v>266886.1487</v>
      </c>
      <c r="O74" s="14">
        <f>IF(A74&gt;(Drivers!C19+Drivers!C20),Drivers!C28/12*(1+Drivers!C23)^(A74/12),0)</f>
        <v>421773.0062</v>
      </c>
      <c r="P74" s="14">
        <f>(L74+M74)*Drivers!C29</f>
        <v>30501.27413</v>
      </c>
      <c r="Q74" s="14">
        <f>Drivers!C3*Drivers!C30*(1+Drivers!C22)^(A74/12)*Drivers!C31*(1-Drivers!C32 )*K74</f>
        <v>48398.45246</v>
      </c>
      <c r="R74" s="14">
        <f>IF(A74&gt;(Drivers!C19+Drivers!C20),Drivers!C33/12*(1+Drivers!C23)^(A74/12),0)</f>
        <v>63265.95092</v>
      </c>
      <c r="S74" s="14">
        <f t="shared" si="2"/>
        <v>28503.92588</v>
      </c>
      <c r="T74" s="14">
        <f t="shared" si="6"/>
        <v>1140710.495</v>
      </c>
      <c r="U74" s="14">
        <f>IF(AND(A74&gt;Drivers!C19,A74&lt;=(Drivers!C19+Drivers!C20)),Summary!C31*D74,0)</f>
        <v>0</v>
      </c>
      <c r="V74" s="14">
        <f>IF(A74&lt;=(Drivers!C19+Drivers!C20),(T74+U74/2)*Drivers!C36/12,T74*Drivers!C36/12)</f>
        <v>10931.80891</v>
      </c>
      <c r="W74" s="14">
        <f>IF(A74&gt;(Drivers!C19+Drivers!C20),MIN(T74,MAX(0,Summary!C32/12-V74)),0)</f>
        <v>3393.378214</v>
      </c>
      <c r="X74" s="14">
        <f>IF(A74=(Drivers!C19+1),Summary!C31*Drivers!C38,0)</f>
        <v>0</v>
      </c>
      <c r="Y74" s="14">
        <f t="shared" si="3"/>
        <v>1137317.117</v>
      </c>
      <c r="Z74" s="14">
        <f t="shared" si="4"/>
        <v>14178.73876</v>
      </c>
      <c r="AA74" s="14">
        <f t="shared" si="7"/>
        <v>-109714039.1</v>
      </c>
      <c r="AB74" s="14">
        <f t="shared" si="5"/>
        <v>28503.92588</v>
      </c>
      <c r="AC74" s="14">
        <f>(E74+F74+G74+H74)*Drivers!C45</f>
        <v>0</v>
      </c>
      <c r="AD74" s="14">
        <f>IF(A74&lt;=Summary!C18,AB74+IF(A74=Summary!C18,Summary!C40,0),0)</f>
        <v>28503.92588</v>
      </c>
      <c r="AE74" s="14">
        <f>IF(A74&lt;=Summary!C18,Z74+IF(A74=Summary!C18,Summary!C40-Y74,0),0)</f>
        <v>14178.73876</v>
      </c>
      <c r="AF74" s="14">
        <f>AD74-IF(A74=0,Drivers!C44,0)</f>
        <v>28503.92588</v>
      </c>
      <c r="AG74" s="14">
        <f t="shared" si="8"/>
        <v>-110386395.7</v>
      </c>
    </row>
    <row r="75">
      <c r="A75" s="2">
        <v>73.0</v>
      </c>
      <c r="B75" s="15">
        <f>EDATE(Setup!B2,A75)</f>
        <v>48501</v>
      </c>
      <c r="C75" s="2" t="str">
        <f>IF(A75=0,"T0",IF(A75&lt;=Drivers!C19,"Preconstruction",IF(A75&lt;=(Drivers!C19+Drivers!C20),"Construction","Trading")))</f>
        <v>Trading</v>
      </c>
      <c r="D75" s="12">
        <f t="array" ref="D75">IF(AND(A75&gt;Drivers!C19,A75&lt;=(Drivers!C19+Drivers!C20)),SIN(PI()*(A75-Drivers!C19-0.5)/Drivers!C20)/SUMPRODUCT(SIN(PI()*(SEQUENCE(Drivers!C20,1)-0.5)/Drivers!C20)),0)</f>
        <v>0</v>
      </c>
      <c r="E75" s="14">
        <f>(Summary!C10+Summary!C12)*D75*(1+Drivers!C21)^(A75/12)</f>
        <v>0</v>
      </c>
      <c r="F75" s="14">
        <f>IF(AND(A75&gt;0,A75&lt;=Drivers!C19),Summary!C11*Drivers!C40/Drivers!C19*(1+Drivers!C21)^(A75/12),Summary!C11*(1-Drivers!C40 )*D75*(1+Drivers!C21)^(A75/12))</f>
        <v>0</v>
      </c>
      <c r="G75" s="14">
        <f>IF(AND(A75&gt;0,A75&lt;=2),Drivers!C16/2,0)</f>
        <v>0</v>
      </c>
      <c r="H75" s="14">
        <f>IF(A75=(Drivers!C19+Drivers!C20),Drivers!C17*(1+Drivers!C21)^(A75/12),0)</f>
        <v>0</v>
      </c>
      <c r="I75" s="14">
        <f>IF(AND(A75&gt;0,A75&lt;=(Drivers!C19+Drivers!C20)),Drivers!C18*(1+Drivers!C23)^(A75/12),0)</f>
        <v>0</v>
      </c>
      <c r="J75" s="14">
        <f t="shared" si="1"/>
        <v>0</v>
      </c>
      <c r="K75" s="12">
        <f>IF(A75&gt;(Drivers!C19+Drivers!C20),MIN(1,0.5+0.5*(A75-(Drivers!C19+Drivers!C20))/Drivers!C39),0)</f>
        <v>1</v>
      </c>
      <c r="L75" s="14">
        <f>Drivers!C2*(B75-B74)*Drivers!C24*(1+Drivers!C22)^(A75/12)*Drivers!C25*K75</f>
        <v>616958.213</v>
      </c>
      <c r="M75" s="14">
        <f>L75*Drivers!C26</f>
        <v>123391.6426</v>
      </c>
      <c r="N75" s="14">
        <f>(L75+M75)*Drivers!C27</f>
        <v>259122.4495</v>
      </c>
      <c r="O75" s="14">
        <f>IF(A75&gt;(Drivers!C19+Drivers!C20),Drivers!C28/12*(1+Drivers!C23)^(A75/12),0)</f>
        <v>423153.7812</v>
      </c>
      <c r="P75" s="14">
        <f>(L75+M75)*Drivers!C29</f>
        <v>29613.99423</v>
      </c>
      <c r="Q75" s="14">
        <f>Drivers!C3*Drivers!C30*(1+Drivers!C22)^(A75/12)*Drivers!C31*(1-Drivers!C32 )*K75</f>
        <v>48556.8964</v>
      </c>
      <c r="R75" s="14">
        <f>IF(A75&gt;(Drivers!C19+Drivers!C20),Drivers!C33/12*(1+Drivers!C23)^(A75/12),0)</f>
        <v>63473.06719</v>
      </c>
      <c r="S75" s="14">
        <f t="shared" si="2"/>
        <v>13543.45992</v>
      </c>
      <c r="T75" s="14">
        <f t="shared" si="6"/>
        <v>1137317.117</v>
      </c>
      <c r="U75" s="14">
        <f>IF(AND(A75&gt;Drivers!C19,A75&lt;=(Drivers!C19+Drivers!C20)),Summary!C31*D75,0)</f>
        <v>0</v>
      </c>
      <c r="V75" s="14">
        <f>IF(A75&lt;=(Drivers!C19+Drivers!C20),(T75+U75/2)*Drivers!C36/12,T75*Drivers!C36/12)</f>
        <v>10899.28903</v>
      </c>
      <c r="W75" s="14">
        <f>IF(A75&gt;(Drivers!C19+Drivers!C20),MIN(T75,MAX(0,Summary!C32/12-V75)),0)</f>
        <v>3425.898089</v>
      </c>
      <c r="X75" s="14">
        <f>IF(A75=(Drivers!C19+1),Summary!C31*Drivers!C38,0)</f>
        <v>0</v>
      </c>
      <c r="Y75" s="14">
        <f t="shared" si="3"/>
        <v>1133891.218</v>
      </c>
      <c r="Z75" s="14">
        <f t="shared" si="4"/>
        <v>-781.7272006</v>
      </c>
      <c r="AA75" s="14">
        <f t="shared" si="7"/>
        <v>-109714820.8</v>
      </c>
      <c r="AB75" s="14">
        <f t="shared" si="5"/>
        <v>13543.45992</v>
      </c>
      <c r="AC75" s="14">
        <f>(E75+F75+G75+H75)*Drivers!C45</f>
        <v>0</v>
      </c>
      <c r="AD75" s="14">
        <f>IF(A75&lt;=Summary!C18,AB75+IF(A75=Summary!C18,Summary!C40,0),0)</f>
        <v>13543.45992</v>
      </c>
      <c r="AE75" s="14">
        <f>IF(A75&lt;=Summary!C18,Z75+IF(A75=Summary!C18,Summary!C40-Y75,0),0)</f>
        <v>-781.7272006</v>
      </c>
      <c r="AF75" s="14">
        <f>AD75-IF(A75=0,Drivers!C44,0)</f>
        <v>13543.45992</v>
      </c>
      <c r="AG75" s="14">
        <f t="shared" si="8"/>
        <v>-110372852.2</v>
      </c>
    </row>
    <row r="76">
      <c r="A76" s="2">
        <v>74.0</v>
      </c>
      <c r="B76" s="15">
        <f>EDATE(Setup!B2,A76)</f>
        <v>48532</v>
      </c>
      <c r="C76" s="2" t="str">
        <f>IF(A76=0,"T0",IF(A76&lt;=Drivers!C19,"Preconstruction",IF(A76&lt;=(Drivers!C19+Drivers!C20),"Construction","Trading")))</f>
        <v>Trading</v>
      </c>
      <c r="D76" s="12">
        <f t="array" ref="D76">IF(AND(A76&gt;Drivers!C19,A76&lt;=(Drivers!C19+Drivers!C20)),SIN(PI()*(A76-Drivers!C19-0.5)/Drivers!C20)/SUMPRODUCT(SIN(PI()*(SEQUENCE(Drivers!C20,1)-0.5)/Drivers!C20)),0)</f>
        <v>0</v>
      </c>
      <c r="E76" s="14">
        <f>(Summary!C10+Summary!C12)*D76*(1+Drivers!C21)^(A76/12)</f>
        <v>0</v>
      </c>
      <c r="F76" s="14">
        <f>IF(AND(A76&gt;0,A76&lt;=Drivers!C19),Summary!C11*Drivers!C40/Drivers!C19*(1+Drivers!C21)^(A76/12),Summary!C11*(1-Drivers!C40 )*D76*(1+Drivers!C21)^(A76/12))</f>
        <v>0</v>
      </c>
      <c r="G76" s="14">
        <f>IF(AND(A76&gt;0,A76&lt;=2),Drivers!C16/2,0)</f>
        <v>0</v>
      </c>
      <c r="H76" s="14">
        <f>IF(A76=(Drivers!C19+Drivers!C20),Drivers!C17*(1+Drivers!C21)^(A76/12),0)</f>
        <v>0</v>
      </c>
      <c r="I76" s="14">
        <f>IF(AND(A76&gt;0,A76&lt;=(Drivers!C19+Drivers!C20)),Drivers!C18*(1+Drivers!C23)^(A76/12),0)</f>
        <v>0</v>
      </c>
      <c r="J76" s="14">
        <f t="shared" si="1"/>
        <v>0</v>
      </c>
      <c r="K76" s="12">
        <f>IF(A76&gt;(Drivers!C19+Drivers!C20),MIN(1,0.5+0.5*(A76-(Drivers!C19+Drivers!C20))/Drivers!C39),0)</f>
        <v>1</v>
      </c>
      <c r="L76" s="14">
        <f>Drivers!C2*(B76-B75)*Drivers!C24*(1+Drivers!C22)^(A76/12)*Drivers!C25*K76</f>
        <v>639610.5728</v>
      </c>
      <c r="M76" s="14">
        <f>L76*Drivers!C26</f>
        <v>127922.1146</v>
      </c>
      <c r="N76" s="14">
        <f>(L76+M76)*Drivers!C27</f>
        <v>268636.4406</v>
      </c>
      <c r="O76" s="14">
        <f>IF(A76&gt;(Drivers!C19+Drivers!C20),Drivers!C28/12*(1+Drivers!C23)^(A76/12),0)</f>
        <v>424539.0766</v>
      </c>
      <c r="P76" s="14">
        <f>(L76+M76)*Drivers!C29</f>
        <v>30701.30749</v>
      </c>
      <c r="Q76" s="14">
        <f>Drivers!C3*Drivers!C30*(1+Drivers!C22)^(A76/12)*Drivers!C31*(1-Drivers!C32 )*K76</f>
        <v>48715.85904</v>
      </c>
      <c r="R76" s="14">
        <f>IF(A76&gt;(Drivers!C19+Drivers!C20),Drivers!C33/12*(1+Drivers!C23)^(A76/12),0)</f>
        <v>63680.86149</v>
      </c>
      <c r="S76" s="14">
        <f t="shared" si="2"/>
        <v>28690.86024</v>
      </c>
      <c r="T76" s="14">
        <f t="shared" si="6"/>
        <v>1133891.218</v>
      </c>
      <c r="U76" s="14">
        <f>IF(AND(A76&gt;Drivers!C19,A76&lt;=(Drivers!C19+Drivers!C20)),Summary!C31*D76,0)</f>
        <v>0</v>
      </c>
      <c r="V76" s="14">
        <f>IF(A76&lt;=(Drivers!C19+Drivers!C20),(T76+U76/2)*Drivers!C36/12,T76*Drivers!C36/12)</f>
        <v>10866.45751</v>
      </c>
      <c r="W76" s="14">
        <f>IF(A76&gt;(Drivers!C19+Drivers!C20),MIN(T76,MAX(0,Summary!C32/12-V76)),0)</f>
        <v>3458.729612</v>
      </c>
      <c r="X76" s="14">
        <f>IF(A76=(Drivers!C19+1),Summary!C31*Drivers!C38,0)</f>
        <v>0</v>
      </c>
      <c r="Y76" s="14">
        <f t="shared" si="3"/>
        <v>1130432.489</v>
      </c>
      <c r="Z76" s="14">
        <f t="shared" si="4"/>
        <v>14365.67312</v>
      </c>
      <c r="AA76" s="14">
        <f t="shared" si="7"/>
        <v>-109700455.2</v>
      </c>
      <c r="AB76" s="14">
        <f t="shared" si="5"/>
        <v>28690.86024</v>
      </c>
      <c r="AC76" s="14">
        <f>(E76+F76+G76+H76)*Drivers!C45</f>
        <v>0</v>
      </c>
      <c r="AD76" s="14">
        <f>IF(A76&lt;=Summary!C18,AB76+IF(A76=Summary!C18,Summary!C40,0),0)</f>
        <v>28690.86024</v>
      </c>
      <c r="AE76" s="14">
        <f>IF(A76&lt;=Summary!C18,Z76+IF(A76=Summary!C18,Summary!C40-Y76,0),0)</f>
        <v>14365.67312</v>
      </c>
      <c r="AF76" s="14">
        <f>AD76-IF(A76=0,Drivers!C44,0)</f>
        <v>28690.86024</v>
      </c>
      <c r="AG76" s="14">
        <f t="shared" si="8"/>
        <v>-110344161.3</v>
      </c>
    </row>
    <row r="77">
      <c r="A77" s="2">
        <v>75.0</v>
      </c>
      <c r="B77" s="15">
        <f>EDATE(Setup!B2,A77)</f>
        <v>48562</v>
      </c>
      <c r="C77" s="2" t="str">
        <f>IF(A77=0,"T0",IF(A77&lt;=Drivers!C19,"Preconstruction",IF(A77&lt;=(Drivers!C19+Drivers!C20),"Construction","Trading")))</f>
        <v>Trading</v>
      </c>
      <c r="D77" s="12">
        <f t="array" ref="D77">IF(AND(A77&gt;Drivers!C19,A77&lt;=(Drivers!C19+Drivers!C20)),SIN(PI()*(A77-Drivers!C19-0.5)/Drivers!C20)/SUMPRODUCT(SIN(PI()*(SEQUENCE(Drivers!C20,1)-0.5)/Drivers!C20)),0)</f>
        <v>0</v>
      </c>
      <c r="E77" s="14">
        <f>(Summary!C10+Summary!C12)*D77*(1+Drivers!C21)^(A77/12)</f>
        <v>0</v>
      </c>
      <c r="F77" s="14">
        <f>IF(AND(A77&gt;0,A77&lt;=Drivers!C19),Summary!C11*Drivers!C40/Drivers!C19*(1+Drivers!C21)^(A77/12),Summary!C11*(1-Drivers!C40 )*D77*(1+Drivers!C21)^(A77/12))</f>
        <v>0</v>
      </c>
      <c r="G77" s="14">
        <f>IF(AND(A77&gt;0,A77&lt;=2),Drivers!C16/2,0)</f>
        <v>0</v>
      </c>
      <c r="H77" s="14">
        <f>IF(A77=(Drivers!C19+Drivers!C20),Drivers!C17*(1+Drivers!C21)^(A77/12),0)</f>
        <v>0</v>
      </c>
      <c r="I77" s="14">
        <f>IF(AND(A77&gt;0,A77&lt;=(Drivers!C19+Drivers!C20)),Drivers!C18*(1+Drivers!C23)^(A77/12),0)</f>
        <v>0</v>
      </c>
      <c r="J77" s="14">
        <f t="shared" si="1"/>
        <v>0</v>
      </c>
      <c r="K77" s="12">
        <f>IF(A77&gt;(Drivers!C19+Drivers!C20),MIN(1,0.5+0.5*(A77-(Drivers!C19+Drivers!C20))/Drivers!C39),0)</f>
        <v>1</v>
      </c>
      <c r="L77" s="14">
        <f>Drivers!C2*(B77-B76)*Drivers!C24*(1+Drivers!C22)^(A77/12)*Drivers!C25*K77</f>
        <v>621004.3465</v>
      </c>
      <c r="M77" s="14">
        <f>L77*Drivers!C26</f>
        <v>124200.8693</v>
      </c>
      <c r="N77" s="14">
        <f>(L77+M77)*Drivers!C27</f>
        <v>260821.8255</v>
      </c>
      <c r="O77" s="14">
        <f>IF(A77&gt;(Drivers!C19+Drivers!C20),Drivers!C28/12*(1+Drivers!C23)^(A77/12),0)</f>
        <v>425928.9071</v>
      </c>
      <c r="P77" s="14">
        <f>(L77+M77)*Drivers!C29</f>
        <v>29808.20863</v>
      </c>
      <c r="Q77" s="14">
        <f>Drivers!C3*Drivers!C30*(1+Drivers!C22)^(A77/12)*Drivers!C31*(1-Drivers!C32 )*K77</f>
        <v>48875.34209</v>
      </c>
      <c r="R77" s="14">
        <f>IF(A77&gt;(Drivers!C19+Drivers!C20),Drivers!C33/12*(1+Drivers!C23)^(A77/12),0)</f>
        <v>63889.33606</v>
      </c>
      <c r="S77" s="14">
        <f t="shared" si="2"/>
        <v>13632.2806</v>
      </c>
      <c r="T77" s="14">
        <f t="shared" si="6"/>
        <v>1130432.489</v>
      </c>
      <c r="U77" s="14">
        <f>IF(AND(A77&gt;Drivers!C19,A77&lt;=(Drivers!C19+Drivers!C20)),Summary!C31*D77,0)</f>
        <v>0</v>
      </c>
      <c r="V77" s="14">
        <f>IF(A77&lt;=(Drivers!C19+Drivers!C20),(T77+U77/2)*Drivers!C36/12,T77*Drivers!C36/12)</f>
        <v>10833.31135</v>
      </c>
      <c r="W77" s="14">
        <f>IF(A77&gt;(Drivers!C19+Drivers!C20),MIN(T77,MAX(0,Summary!C32/12-V77)),0)</f>
        <v>3491.875771</v>
      </c>
      <c r="X77" s="14">
        <f>IF(A77=(Drivers!C19+1),Summary!C31*Drivers!C38,0)</f>
        <v>0</v>
      </c>
      <c r="Y77" s="14">
        <f t="shared" si="3"/>
        <v>1126940.613</v>
      </c>
      <c r="Z77" s="14">
        <f t="shared" si="4"/>
        <v>-692.9065232</v>
      </c>
      <c r="AA77" s="14">
        <f t="shared" si="7"/>
        <v>-109701148.1</v>
      </c>
      <c r="AB77" s="14">
        <f t="shared" si="5"/>
        <v>13632.2806</v>
      </c>
      <c r="AC77" s="14">
        <f>(E77+F77+G77+H77)*Drivers!C45</f>
        <v>0</v>
      </c>
      <c r="AD77" s="14">
        <f>IF(A77&lt;=Summary!C18,AB77+IF(A77=Summary!C18,Summary!C40,0),0)</f>
        <v>13632.2806</v>
      </c>
      <c r="AE77" s="14">
        <f>IF(A77&lt;=Summary!C18,Z77+IF(A77=Summary!C18,Summary!C40-Y77,0),0)</f>
        <v>-692.9065232</v>
      </c>
      <c r="AF77" s="14">
        <f>AD77-IF(A77=0,Drivers!C44,0)</f>
        <v>13632.2806</v>
      </c>
      <c r="AG77" s="14">
        <f t="shared" si="8"/>
        <v>-110330529.1</v>
      </c>
    </row>
    <row r="78">
      <c r="A78" s="2">
        <v>76.0</v>
      </c>
      <c r="B78" s="15">
        <f>EDATE(Setup!B2,A78)</f>
        <v>48593</v>
      </c>
      <c r="C78" s="2" t="str">
        <f>IF(A78=0,"T0",IF(A78&lt;=Drivers!C19,"Preconstruction",IF(A78&lt;=(Drivers!C19+Drivers!C20),"Construction","Trading")))</f>
        <v>Trading</v>
      </c>
      <c r="D78" s="12">
        <f t="array" ref="D78">IF(AND(A78&gt;Drivers!C19,A78&lt;=(Drivers!C19+Drivers!C20)),SIN(PI()*(A78-Drivers!C19-0.5)/Drivers!C20)/SUMPRODUCT(SIN(PI()*(SEQUENCE(Drivers!C20,1)-0.5)/Drivers!C20)),0)</f>
        <v>0</v>
      </c>
      <c r="E78" s="14">
        <f>(Summary!C10+Summary!C12)*D78*(1+Drivers!C21)^(A78/12)</f>
        <v>0</v>
      </c>
      <c r="F78" s="14">
        <f>IF(AND(A78&gt;0,A78&lt;=Drivers!C19),Summary!C11*Drivers!C40/Drivers!C19*(1+Drivers!C21)^(A78/12),Summary!C11*(1-Drivers!C40 )*D78*(1+Drivers!C21)^(A78/12))</f>
        <v>0</v>
      </c>
      <c r="G78" s="14">
        <f>IF(AND(A78&gt;0,A78&lt;=2),Drivers!C16/2,0)</f>
        <v>0</v>
      </c>
      <c r="H78" s="14">
        <f>IF(A78=(Drivers!C19+Drivers!C20),Drivers!C17*(1+Drivers!C21)^(A78/12),0)</f>
        <v>0</v>
      </c>
      <c r="I78" s="14">
        <f>IF(AND(A78&gt;0,A78&lt;=(Drivers!C19+Drivers!C20)),Drivers!C18*(1+Drivers!C23)^(A78/12),0)</f>
        <v>0</v>
      </c>
      <c r="J78" s="14">
        <f t="shared" si="1"/>
        <v>0</v>
      </c>
      <c r="K78" s="12">
        <f>IF(A78&gt;(Drivers!C19+Drivers!C20),MIN(1,0.5+0.5*(A78-(Drivers!C19+Drivers!C20))/Drivers!C39),0)</f>
        <v>1</v>
      </c>
      <c r="L78" s="14">
        <f>Drivers!C2*(B78-B77)*Drivers!C24*(1+Drivers!C22)^(A78/12)*Drivers!C25*K78</f>
        <v>643805.2649</v>
      </c>
      <c r="M78" s="14">
        <f>L78*Drivers!C26</f>
        <v>128761.053</v>
      </c>
      <c r="N78" s="14">
        <f>(L78+M78)*Drivers!C27</f>
        <v>270398.2113</v>
      </c>
      <c r="O78" s="14">
        <f>IF(A78&gt;(Drivers!C19+Drivers!C20),Drivers!C28/12*(1+Drivers!C23)^(A78/12),0)</f>
        <v>427323.2875</v>
      </c>
      <c r="P78" s="14">
        <f>(L78+M78)*Drivers!C29</f>
        <v>30902.65272</v>
      </c>
      <c r="Q78" s="14">
        <f>Drivers!C3*Drivers!C30*(1+Drivers!C22)^(A78/12)*Drivers!C31*(1-Drivers!C32 )*K78</f>
        <v>49035.34724</v>
      </c>
      <c r="R78" s="14">
        <f>IF(A78&gt;(Drivers!C19+Drivers!C20),Drivers!C33/12*(1+Drivers!C23)^(A78/12),0)</f>
        <v>64098.49312</v>
      </c>
      <c r="S78" s="14">
        <f t="shared" si="2"/>
        <v>28879.02056</v>
      </c>
      <c r="T78" s="14">
        <f t="shared" si="6"/>
        <v>1126940.613</v>
      </c>
      <c r="U78" s="14">
        <f>IF(AND(A78&gt;Drivers!C19,A78&lt;=(Drivers!C19+Drivers!C20)),Summary!C31*D78,0)</f>
        <v>0</v>
      </c>
      <c r="V78" s="14">
        <f>IF(A78&lt;=(Drivers!C19+Drivers!C20),(T78+U78/2)*Drivers!C36/12,T78*Drivers!C36/12)</f>
        <v>10799.84754</v>
      </c>
      <c r="W78" s="14">
        <f>IF(A78&gt;(Drivers!C19+Drivers!C20),MIN(T78,MAX(0,Summary!C32/12-V78)),0)</f>
        <v>3525.339581</v>
      </c>
      <c r="X78" s="14">
        <f>IF(A78=(Drivers!C19+1),Summary!C31*Drivers!C38,0)</f>
        <v>0</v>
      </c>
      <c r="Y78" s="14">
        <f t="shared" si="3"/>
        <v>1123415.274</v>
      </c>
      <c r="Z78" s="14">
        <f t="shared" si="4"/>
        <v>14553.83343</v>
      </c>
      <c r="AA78" s="14">
        <f t="shared" si="7"/>
        <v>-109686594.2</v>
      </c>
      <c r="AB78" s="14">
        <f t="shared" si="5"/>
        <v>28879.02056</v>
      </c>
      <c r="AC78" s="14">
        <f>(E78+F78+G78+H78)*Drivers!C45</f>
        <v>0</v>
      </c>
      <c r="AD78" s="14">
        <f>IF(A78&lt;=Summary!C18,AB78+IF(A78=Summary!C18,Summary!C40,0),0)</f>
        <v>28879.02056</v>
      </c>
      <c r="AE78" s="14">
        <f>IF(A78&lt;=Summary!C18,Z78+IF(A78=Summary!C18,Summary!C40-Y78,0),0)</f>
        <v>14553.83343</v>
      </c>
      <c r="AF78" s="14">
        <f>AD78-IF(A78=0,Drivers!C44,0)</f>
        <v>28879.02056</v>
      </c>
      <c r="AG78" s="14">
        <f t="shared" si="8"/>
        <v>-110301650</v>
      </c>
    </row>
    <row r="79">
      <c r="A79" s="2">
        <v>77.0</v>
      </c>
      <c r="B79" s="15">
        <f>EDATE(Setup!B2,A79)</f>
        <v>48624</v>
      </c>
      <c r="C79" s="2" t="str">
        <f>IF(A79=0,"T0",IF(A79&lt;=Drivers!C19,"Preconstruction",IF(A79&lt;=(Drivers!C19+Drivers!C20),"Construction","Trading")))</f>
        <v>Trading</v>
      </c>
      <c r="D79" s="12">
        <f t="array" ref="D79">IF(AND(A79&gt;Drivers!C19,A79&lt;=(Drivers!C19+Drivers!C20)),SIN(PI()*(A79-Drivers!C19-0.5)/Drivers!C20)/SUMPRODUCT(SIN(PI()*(SEQUENCE(Drivers!C20,1)-0.5)/Drivers!C20)),0)</f>
        <v>0</v>
      </c>
      <c r="E79" s="14">
        <f>(Summary!C10+Summary!C12)*D79*(1+Drivers!C21)^(A79/12)</f>
        <v>0</v>
      </c>
      <c r="F79" s="14">
        <f>IF(AND(A79&gt;0,A79&lt;=Drivers!C19),Summary!C11*Drivers!C40/Drivers!C19*(1+Drivers!C21)^(A79/12),Summary!C11*(1-Drivers!C40 )*D79*(1+Drivers!C21)^(A79/12))</f>
        <v>0</v>
      </c>
      <c r="G79" s="14">
        <f>IF(AND(A79&gt;0,A79&lt;=2),Drivers!C16/2,0)</f>
        <v>0</v>
      </c>
      <c r="H79" s="14">
        <f>IF(A79=(Drivers!C19+Drivers!C20),Drivers!C17*(1+Drivers!C21)^(A79/12),0)</f>
        <v>0</v>
      </c>
      <c r="I79" s="14">
        <f>IF(AND(A79&gt;0,A79&lt;=(Drivers!C19+Drivers!C20)),Drivers!C18*(1+Drivers!C23)^(A79/12),0)</f>
        <v>0</v>
      </c>
      <c r="J79" s="14">
        <f t="shared" si="1"/>
        <v>0</v>
      </c>
      <c r="K79" s="12">
        <f>IF(A79&gt;(Drivers!C19+Drivers!C20),MIN(1,0.5+0.5*(A79-(Drivers!C19+Drivers!C20))/Drivers!C39),0)</f>
        <v>1</v>
      </c>
      <c r="L79" s="14">
        <f>Drivers!C2*(B79-B78)*Drivers!C24*(1+Drivers!C22)^(A79/12)*Drivers!C25*K79</f>
        <v>645912.9158</v>
      </c>
      <c r="M79" s="14">
        <f>L79*Drivers!C26</f>
        <v>129182.5832</v>
      </c>
      <c r="N79" s="14">
        <f>(L79+M79)*Drivers!C27</f>
        <v>271283.4246</v>
      </c>
      <c r="O79" s="14">
        <f>IF(A79&gt;(Drivers!C19+Drivers!C20),Drivers!C28/12*(1+Drivers!C23)^(A79/12),0)</f>
        <v>428722.2327</v>
      </c>
      <c r="P79" s="14">
        <f>(L79+M79)*Drivers!C29</f>
        <v>31003.81996</v>
      </c>
      <c r="Q79" s="14">
        <f>Drivers!C3*Drivers!C30*(1+Drivers!C22)^(A79/12)*Drivers!C31*(1-Drivers!C32 )*K79</f>
        <v>49195.8762</v>
      </c>
      <c r="R79" s="14">
        <f>IF(A79&gt;(Drivers!C19+Drivers!C20),Drivers!C33/12*(1+Drivers!C23)^(A79/12),0)</f>
        <v>64308.33491</v>
      </c>
      <c r="S79" s="14">
        <f t="shared" si="2"/>
        <v>28973.56295</v>
      </c>
      <c r="T79" s="14">
        <f t="shared" si="6"/>
        <v>1123415.274</v>
      </c>
      <c r="U79" s="14">
        <f>IF(AND(A79&gt;Drivers!C19,A79&lt;=(Drivers!C19+Drivers!C20)),Summary!C31*D79,0)</f>
        <v>0</v>
      </c>
      <c r="V79" s="14">
        <f>IF(A79&lt;=(Drivers!C19+Drivers!C20),(T79+U79/2)*Drivers!C36/12,T79*Drivers!C36/12)</f>
        <v>10766.06304</v>
      </c>
      <c r="W79" s="14">
        <f>IF(A79&gt;(Drivers!C19+Drivers!C20),MIN(T79,MAX(0,Summary!C32/12-V79)),0)</f>
        <v>3559.124085</v>
      </c>
      <c r="X79" s="14">
        <f>IF(A79=(Drivers!C19+1),Summary!C31*Drivers!C38,0)</f>
        <v>0</v>
      </c>
      <c r="Y79" s="14">
        <f t="shared" si="3"/>
        <v>1119856.149</v>
      </c>
      <c r="Z79" s="14">
        <f t="shared" si="4"/>
        <v>14648.37583</v>
      </c>
      <c r="AA79" s="14">
        <f t="shared" si="7"/>
        <v>-109671945.9</v>
      </c>
      <c r="AB79" s="14">
        <f t="shared" si="5"/>
        <v>28973.56295</v>
      </c>
      <c r="AC79" s="14">
        <f>(E79+F79+G79+H79)*Drivers!C45</f>
        <v>0</v>
      </c>
      <c r="AD79" s="14">
        <f>IF(A79&lt;=Summary!C18,AB79+IF(A79=Summary!C18,Summary!C40,0),0)</f>
        <v>28973.56295</v>
      </c>
      <c r="AE79" s="14">
        <f>IF(A79&lt;=Summary!C18,Z79+IF(A79=Summary!C18,Summary!C40-Y79,0),0)</f>
        <v>14648.37583</v>
      </c>
      <c r="AF79" s="14">
        <f>AD79-IF(A79=0,Drivers!C44,0)</f>
        <v>28973.56295</v>
      </c>
      <c r="AG79" s="14">
        <f t="shared" si="8"/>
        <v>-110272676.5</v>
      </c>
    </row>
    <row r="80">
      <c r="A80" s="2">
        <v>78.0</v>
      </c>
      <c r="B80" s="15">
        <f>EDATE(Setup!B2,A80)</f>
        <v>48652</v>
      </c>
      <c r="C80" s="2" t="str">
        <f>IF(A80=0,"T0",IF(A80&lt;=Drivers!C19,"Preconstruction",IF(A80&lt;=(Drivers!C19+Drivers!C20),"Construction","Trading")))</f>
        <v>Trading</v>
      </c>
      <c r="D80" s="12">
        <f t="array" ref="D80">IF(AND(A80&gt;Drivers!C19,A80&lt;=(Drivers!C19+Drivers!C20)),SIN(PI()*(A80-Drivers!C19-0.5)/Drivers!C20)/SUMPRODUCT(SIN(PI()*(SEQUENCE(Drivers!C20,1)-0.5)/Drivers!C20)),0)</f>
        <v>0</v>
      </c>
      <c r="E80" s="14">
        <f>(Summary!C10+Summary!C12)*D80*(1+Drivers!C21)^(A80/12)</f>
        <v>0</v>
      </c>
      <c r="F80" s="14">
        <f>IF(AND(A80&gt;0,A80&lt;=Drivers!C19),Summary!C11*Drivers!C40/Drivers!C19*(1+Drivers!C21)^(A80/12),Summary!C11*(1-Drivers!C40 )*D80*(1+Drivers!C21)^(A80/12))</f>
        <v>0</v>
      </c>
      <c r="G80" s="14">
        <f>IF(AND(A80&gt;0,A80&lt;=2),Drivers!C16/2,0)</f>
        <v>0</v>
      </c>
      <c r="H80" s="14">
        <f>IF(A80=(Drivers!C19+Drivers!C20),Drivers!C17*(1+Drivers!C21)^(A80/12),0)</f>
        <v>0</v>
      </c>
      <c r="I80" s="14">
        <f>IF(AND(A80&gt;0,A80&lt;=(Drivers!C19+Drivers!C20)),Drivers!C18*(1+Drivers!C23)^(A80/12),0)</f>
        <v>0</v>
      </c>
      <c r="J80" s="14">
        <f t="shared" si="1"/>
        <v>0</v>
      </c>
      <c r="K80" s="12">
        <f>IF(A80&gt;(Drivers!C19+Drivers!C20),MIN(1,0.5+0.5*(A80-(Drivers!C19+Drivers!C20))/Drivers!C39),0)</f>
        <v>1</v>
      </c>
      <c r="L80" s="14">
        <f>Drivers!C2*(B80-B79)*Drivers!C24*(1+Drivers!C22)^(A80/12)*Drivers!C25*K80</f>
        <v>585315.1311</v>
      </c>
      <c r="M80" s="14">
        <f>L80*Drivers!C26</f>
        <v>117063.0262</v>
      </c>
      <c r="N80" s="14">
        <f>(L80+M80)*Drivers!C27</f>
        <v>245832.3551</v>
      </c>
      <c r="O80" s="14">
        <f>IF(A80&gt;(Drivers!C19+Drivers!C20),Drivers!C28/12*(1+Drivers!C23)^(A80/12),0)</f>
        <v>430125.7577</v>
      </c>
      <c r="P80" s="14">
        <f>(L80+M80)*Drivers!C29</f>
        <v>28095.12629</v>
      </c>
      <c r="Q80" s="14">
        <f>Drivers!C3*Drivers!C30*(1+Drivers!C22)^(A80/12)*Drivers!C31*(1-Drivers!C32 )*K80</f>
        <v>49356.9307</v>
      </c>
      <c r="R80" s="14">
        <f>IF(A80&gt;(Drivers!C19+Drivers!C20),Drivers!C33/12*(1+Drivers!C23)^(A80/12),0)</f>
        <v>64518.86366</v>
      </c>
      <c r="S80" s="14">
        <f t="shared" si="2"/>
        <v>-16837.01471</v>
      </c>
      <c r="T80" s="14">
        <f t="shared" si="6"/>
        <v>1119856.149</v>
      </c>
      <c r="U80" s="14">
        <f>IF(AND(A80&gt;Drivers!C19,A80&lt;=(Drivers!C19+Drivers!C20)),Summary!C31*D80,0)</f>
        <v>0</v>
      </c>
      <c r="V80" s="14">
        <f>IF(A80&lt;=(Drivers!C19+Drivers!C20),(T80+U80/2)*Drivers!C36/12,T80*Drivers!C36/12)</f>
        <v>10731.95477</v>
      </c>
      <c r="W80" s="14">
        <f>IF(A80&gt;(Drivers!C19+Drivers!C20),MIN(T80,MAX(0,Summary!C32/12-V80)),0)</f>
        <v>3593.232357</v>
      </c>
      <c r="X80" s="14">
        <f>IF(A80=(Drivers!C19+1),Summary!C31*Drivers!C38,0)</f>
        <v>0</v>
      </c>
      <c r="Y80" s="14">
        <f t="shared" si="3"/>
        <v>1116262.917</v>
      </c>
      <c r="Z80" s="14">
        <f t="shared" si="4"/>
        <v>-31162.20183</v>
      </c>
      <c r="AA80" s="14">
        <f t="shared" si="7"/>
        <v>-109703108.1</v>
      </c>
      <c r="AB80" s="14">
        <f t="shared" si="5"/>
        <v>-16837.01471</v>
      </c>
      <c r="AC80" s="14">
        <f>(E80+F80+G80+H80)*Drivers!C45</f>
        <v>0</v>
      </c>
      <c r="AD80" s="14">
        <f>IF(A80&lt;=Summary!C18,AB80+IF(A80=Summary!C18,Summary!C40,0),0)</f>
        <v>-16837.01471</v>
      </c>
      <c r="AE80" s="14">
        <f>IF(A80&lt;=Summary!C18,Z80+IF(A80=Summary!C18,Summary!C40-Y80,0),0)</f>
        <v>-31162.20183</v>
      </c>
      <c r="AF80" s="14">
        <f>AD80-IF(A80=0,Drivers!C44,0)</f>
        <v>-16837.01471</v>
      </c>
      <c r="AG80" s="14">
        <f t="shared" si="8"/>
        <v>-110289513.5</v>
      </c>
    </row>
    <row r="81">
      <c r="A81" s="2">
        <v>79.0</v>
      </c>
      <c r="B81" s="15">
        <f>EDATE(Setup!B2,A81)</f>
        <v>48683</v>
      </c>
      <c r="C81" s="2" t="str">
        <f>IF(A81=0,"T0",IF(A81&lt;=Drivers!C19,"Preconstruction",IF(A81&lt;=(Drivers!C19+Drivers!C20),"Construction","Trading")))</f>
        <v>Trading</v>
      </c>
      <c r="D81" s="12">
        <f t="array" ref="D81">IF(AND(A81&gt;Drivers!C19,A81&lt;=(Drivers!C19+Drivers!C20)),SIN(PI()*(A81-Drivers!C19-0.5)/Drivers!C20)/SUMPRODUCT(SIN(PI()*(SEQUENCE(Drivers!C20,1)-0.5)/Drivers!C20)),0)</f>
        <v>0</v>
      </c>
      <c r="E81" s="14">
        <f>(Summary!C10+Summary!C12)*D81*(1+Drivers!C21)^(A81/12)</f>
        <v>0</v>
      </c>
      <c r="F81" s="14">
        <f>IF(AND(A81&gt;0,A81&lt;=Drivers!C19),Summary!C11*Drivers!C40/Drivers!C19*(1+Drivers!C21)^(A81/12),Summary!C11*(1-Drivers!C40 )*D81*(1+Drivers!C21)^(A81/12))</f>
        <v>0</v>
      </c>
      <c r="G81" s="14">
        <f>IF(AND(A81&gt;0,A81&lt;=2),Drivers!C16/2,0)</f>
        <v>0</v>
      </c>
      <c r="H81" s="14">
        <f>IF(A81=(Drivers!C19+Drivers!C20),Drivers!C17*(1+Drivers!C21)^(A81/12),0)</f>
        <v>0</v>
      </c>
      <c r="I81" s="14">
        <f>IF(AND(A81&gt;0,A81&lt;=(Drivers!C19+Drivers!C20)),Drivers!C18*(1+Drivers!C23)^(A81/12),0)</f>
        <v>0</v>
      </c>
      <c r="J81" s="14">
        <f t="shared" si="1"/>
        <v>0</v>
      </c>
      <c r="K81" s="12">
        <f>IF(A81&gt;(Drivers!C19+Drivers!C20),MIN(1,0.5+0.5*(A81-(Drivers!C19+Drivers!C20))/Drivers!C39),0)</f>
        <v>1</v>
      </c>
      <c r="L81" s="14">
        <f>Drivers!C2*(B81-B80)*Drivers!C24*(1+Drivers!C22)^(A81/12)*Drivers!C25*K81</f>
        <v>650148.9399</v>
      </c>
      <c r="M81" s="14">
        <f>L81*Drivers!C26</f>
        <v>130029.788</v>
      </c>
      <c r="N81" s="14">
        <f>(L81+M81)*Drivers!C27</f>
        <v>273062.5548</v>
      </c>
      <c r="O81" s="14">
        <f>IF(A81&gt;(Drivers!C19+Drivers!C20),Drivers!C28/12*(1+Drivers!C23)^(A81/12),0)</f>
        <v>431533.8776</v>
      </c>
      <c r="P81" s="14">
        <f>(L81+M81)*Drivers!C29</f>
        <v>31207.14912</v>
      </c>
      <c r="Q81" s="14">
        <f>Drivers!C3*Drivers!C30*(1+Drivers!C22)^(A81/12)*Drivers!C31*(1-Drivers!C32 )*K81</f>
        <v>49518.51245</v>
      </c>
      <c r="R81" s="14">
        <f>IF(A81&gt;(Drivers!C19+Drivers!C20),Drivers!C33/12*(1+Drivers!C23)^(A81/12),0)</f>
        <v>64730.08163</v>
      </c>
      <c r="S81" s="14">
        <f t="shared" si="2"/>
        <v>29163.57729</v>
      </c>
      <c r="T81" s="14">
        <f t="shared" si="6"/>
        <v>1116262.917</v>
      </c>
      <c r="U81" s="14">
        <f>IF(AND(A81&gt;Drivers!C19,A81&lt;=(Drivers!C19+Drivers!C20)),Summary!C31*D81,0)</f>
        <v>0</v>
      </c>
      <c r="V81" s="14">
        <f>IF(A81&lt;=(Drivers!C19+Drivers!C20),(T81+U81/2)*Drivers!C36/12,T81*Drivers!C36/12)</f>
        <v>10697.51962</v>
      </c>
      <c r="W81" s="14">
        <f>IF(A81&gt;(Drivers!C19+Drivers!C20),MIN(T81,MAX(0,Summary!C32/12-V81)),0)</f>
        <v>3627.667501</v>
      </c>
      <c r="X81" s="14">
        <f>IF(A81=(Drivers!C19+1),Summary!C31*Drivers!C38,0)</f>
        <v>0</v>
      </c>
      <c r="Y81" s="14">
        <f t="shared" si="3"/>
        <v>1112635.25</v>
      </c>
      <c r="Z81" s="14">
        <f t="shared" si="4"/>
        <v>14838.39016</v>
      </c>
      <c r="AA81" s="14">
        <f t="shared" si="7"/>
        <v>-109688269.7</v>
      </c>
      <c r="AB81" s="14">
        <f t="shared" si="5"/>
        <v>29163.57729</v>
      </c>
      <c r="AC81" s="14">
        <f>(E81+F81+G81+H81)*Drivers!C45</f>
        <v>0</v>
      </c>
      <c r="AD81" s="14">
        <f>IF(A81&lt;=Summary!C18,AB81+IF(A81=Summary!C18,Summary!C40,0),0)</f>
        <v>29163.57729</v>
      </c>
      <c r="AE81" s="14">
        <f>IF(A81&lt;=Summary!C18,Z81+IF(A81=Summary!C18,Summary!C40-Y81,0),0)</f>
        <v>14838.39016</v>
      </c>
      <c r="AF81" s="14">
        <f>AD81-IF(A81=0,Drivers!C44,0)</f>
        <v>29163.57729</v>
      </c>
      <c r="AG81" s="14">
        <f t="shared" si="8"/>
        <v>-110260349.9</v>
      </c>
    </row>
    <row r="82">
      <c r="A82" s="2">
        <v>80.0</v>
      </c>
      <c r="B82" s="15">
        <f>EDATE(Setup!B2,A82)</f>
        <v>48713</v>
      </c>
      <c r="C82" s="2" t="str">
        <f>IF(A82=0,"T0",IF(A82&lt;=Drivers!C19,"Preconstruction",IF(A82&lt;=(Drivers!C19+Drivers!C20),"Construction","Trading")))</f>
        <v>Trading</v>
      </c>
      <c r="D82" s="12">
        <f t="array" ref="D82">IF(AND(A82&gt;Drivers!C19,A82&lt;=(Drivers!C19+Drivers!C20)),SIN(PI()*(A82-Drivers!C19-0.5)/Drivers!C20)/SUMPRODUCT(SIN(PI()*(SEQUENCE(Drivers!C20,1)-0.5)/Drivers!C20)),0)</f>
        <v>0</v>
      </c>
      <c r="E82" s="14">
        <f>(Summary!C10+Summary!C12)*D82*(1+Drivers!C21)^(A82/12)</f>
        <v>0</v>
      </c>
      <c r="F82" s="14">
        <f>IF(AND(A82&gt;0,A82&lt;=Drivers!C19),Summary!C11*Drivers!C40/Drivers!C19*(1+Drivers!C21)^(A82/12),Summary!C11*(1-Drivers!C40 )*D82*(1+Drivers!C21)^(A82/12))</f>
        <v>0</v>
      </c>
      <c r="G82" s="14">
        <f>IF(AND(A82&gt;0,A82&lt;=2),Drivers!C16/2,0)</f>
        <v>0</v>
      </c>
      <c r="H82" s="14">
        <f>IF(A82=(Drivers!C19+Drivers!C20),Drivers!C17*(1+Drivers!C21)^(A82/12),0)</f>
        <v>0</v>
      </c>
      <c r="I82" s="14">
        <f>IF(AND(A82&gt;0,A82&lt;=(Drivers!C19+Drivers!C20)),Drivers!C18*(1+Drivers!C23)^(A82/12),0)</f>
        <v>0</v>
      </c>
      <c r="J82" s="14">
        <f t="shared" si="1"/>
        <v>0</v>
      </c>
      <c r="K82" s="12">
        <f>IF(A82&gt;(Drivers!C19+Drivers!C20),MIN(1,0.5+0.5*(A82-(Drivers!C19+Drivers!C20))/Drivers!C39),0)</f>
        <v>1</v>
      </c>
      <c r="L82" s="14">
        <f>Drivers!C2*(B82-B81)*Drivers!C24*(1+Drivers!C22)^(A82/12)*Drivers!C25*K82</f>
        <v>631236.1533</v>
      </c>
      <c r="M82" s="14">
        <f>L82*Drivers!C26</f>
        <v>126247.2307</v>
      </c>
      <c r="N82" s="14">
        <f>(L82+M82)*Drivers!C27</f>
        <v>265119.1844</v>
      </c>
      <c r="O82" s="14">
        <f>IF(A82&gt;(Drivers!C19+Drivers!C20),Drivers!C28/12*(1+Drivers!C23)^(A82/12),0)</f>
        <v>432946.6072</v>
      </c>
      <c r="P82" s="14">
        <f>(L82+M82)*Drivers!C29</f>
        <v>30299.33536</v>
      </c>
      <c r="Q82" s="14">
        <f>Drivers!C3*Drivers!C30*(1+Drivers!C22)^(A82/12)*Drivers!C31*(1-Drivers!C32 )*K82</f>
        <v>49680.62317</v>
      </c>
      <c r="R82" s="14">
        <f>IF(A82&gt;(Drivers!C19+Drivers!C20),Drivers!C33/12*(1+Drivers!C23)^(A82/12),0)</f>
        <v>64941.99108</v>
      </c>
      <c r="S82" s="14">
        <f t="shared" si="2"/>
        <v>13856.88911</v>
      </c>
      <c r="T82" s="14">
        <f t="shared" si="6"/>
        <v>1112635.25</v>
      </c>
      <c r="U82" s="14">
        <f>IF(AND(A82&gt;Drivers!C19,A82&lt;=(Drivers!C19+Drivers!C20)),Summary!C31*D82,0)</f>
        <v>0</v>
      </c>
      <c r="V82" s="14">
        <f>IF(A82&lt;=(Drivers!C19+Drivers!C20),(T82+U82/2)*Drivers!C36/12,T82*Drivers!C36/12)</f>
        <v>10662.75448</v>
      </c>
      <c r="W82" s="14">
        <f>IF(A82&gt;(Drivers!C19+Drivers!C20),MIN(T82,MAX(0,Summary!C32/12-V82)),0)</f>
        <v>3662.432648</v>
      </c>
      <c r="X82" s="14">
        <f>IF(A82=(Drivers!C19+1),Summary!C31*Drivers!C38,0)</f>
        <v>0</v>
      </c>
      <c r="Y82" s="14">
        <f t="shared" si="3"/>
        <v>1108972.817</v>
      </c>
      <c r="Z82" s="14">
        <f t="shared" si="4"/>
        <v>-468.2980135</v>
      </c>
      <c r="AA82" s="14">
        <f t="shared" si="7"/>
        <v>-109688738</v>
      </c>
      <c r="AB82" s="14">
        <f t="shared" si="5"/>
        <v>13856.88911</v>
      </c>
      <c r="AC82" s="14">
        <f>(E82+F82+G82+H82)*Drivers!C45</f>
        <v>0</v>
      </c>
      <c r="AD82" s="14">
        <f>IF(A82&lt;=Summary!C18,AB82+IF(A82=Summary!C18,Summary!C40,0),0)</f>
        <v>13856.88911</v>
      </c>
      <c r="AE82" s="14">
        <f>IF(A82&lt;=Summary!C18,Z82+IF(A82=Summary!C18,Summary!C40-Y82,0),0)</f>
        <v>-468.2980135</v>
      </c>
      <c r="AF82" s="14">
        <f>AD82-IF(A82=0,Drivers!C44,0)</f>
        <v>13856.88911</v>
      </c>
      <c r="AG82" s="14">
        <f t="shared" si="8"/>
        <v>-110246493</v>
      </c>
    </row>
    <row r="83">
      <c r="A83" s="2">
        <v>81.0</v>
      </c>
      <c r="B83" s="15">
        <f>EDATE(Setup!B2,A83)</f>
        <v>48744</v>
      </c>
      <c r="C83" s="2" t="str">
        <f>IF(A83=0,"T0",IF(A83&lt;=Drivers!C19,"Preconstruction",IF(A83&lt;=(Drivers!C19+Drivers!C20),"Construction","Trading")))</f>
        <v>Trading</v>
      </c>
      <c r="D83" s="12">
        <f t="array" ref="D83">IF(AND(A83&gt;Drivers!C19,A83&lt;=(Drivers!C19+Drivers!C20)),SIN(PI()*(A83-Drivers!C19-0.5)/Drivers!C20)/SUMPRODUCT(SIN(PI()*(SEQUENCE(Drivers!C20,1)-0.5)/Drivers!C20)),0)</f>
        <v>0</v>
      </c>
      <c r="E83" s="14">
        <f>(Summary!C10+Summary!C12)*D83*(1+Drivers!C21)^(A83/12)</f>
        <v>0</v>
      </c>
      <c r="F83" s="14">
        <f>IF(AND(A83&gt;0,A83&lt;=Drivers!C19),Summary!C11*Drivers!C40/Drivers!C19*(1+Drivers!C21)^(A83/12),Summary!C11*(1-Drivers!C40 )*D83*(1+Drivers!C21)^(A83/12))</f>
        <v>0</v>
      </c>
      <c r="G83" s="14">
        <f>IF(AND(A83&gt;0,A83&lt;=2),Drivers!C16/2,0)</f>
        <v>0</v>
      </c>
      <c r="H83" s="14">
        <f>IF(A83=(Drivers!C19+Drivers!C20),Drivers!C17*(1+Drivers!C21)^(A83/12),0)</f>
        <v>0</v>
      </c>
      <c r="I83" s="14">
        <f>IF(AND(A83&gt;0,A83&lt;=(Drivers!C19+Drivers!C20)),Drivers!C18*(1+Drivers!C23)^(A83/12),0)</f>
        <v>0</v>
      </c>
      <c r="J83" s="14">
        <f t="shared" si="1"/>
        <v>0</v>
      </c>
      <c r="K83" s="12">
        <f>IF(A83&gt;(Drivers!C19+Drivers!C20),MIN(1,0.5+0.5*(A83-(Drivers!C19+Drivers!C20))/Drivers!C39),0)</f>
        <v>1</v>
      </c>
      <c r="L83" s="14">
        <f>Drivers!C2*(B83-B82)*Drivers!C24*(1+Drivers!C22)^(A83/12)*Drivers!C25*K83</f>
        <v>654412.7447</v>
      </c>
      <c r="M83" s="14">
        <f>L83*Drivers!C26</f>
        <v>130882.5489</v>
      </c>
      <c r="N83" s="14">
        <f>(L83+M83)*Drivers!C27</f>
        <v>274853.3528</v>
      </c>
      <c r="O83" s="14">
        <f>IF(A83&gt;(Drivers!C19+Drivers!C20),Drivers!C28/12*(1+Drivers!C23)^(A83/12),0)</f>
        <v>434363.9617</v>
      </c>
      <c r="P83" s="14">
        <f>(L83+M83)*Drivers!C29</f>
        <v>31411.81175</v>
      </c>
      <c r="Q83" s="14">
        <f>Drivers!C3*Drivers!C30*(1+Drivers!C22)^(A83/12)*Drivers!C31*(1-Drivers!C32 )*K83</f>
        <v>49843.26461</v>
      </c>
      <c r="R83" s="14">
        <f>IF(A83&gt;(Drivers!C19+Drivers!C20),Drivers!C33/12*(1+Drivers!C23)^(A83/12),0)</f>
        <v>65154.59426</v>
      </c>
      <c r="S83" s="14">
        <f t="shared" si="2"/>
        <v>29354.83777</v>
      </c>
      <c r="T83" s="14">
        <f t="shared" si="6"/>
        <v>1108972.817</v>
      </c>
      <c r="U83" s="14">
        <f>IF(AND(A83&gt;Drivers!C19,A83&lt;=(Drivers!C19+Drivers!C20)),Summary!C31*D83,0)</f>
        <v>0</v>
      </c>
      <c r="V83" s="14">
        <f>IF(A83&lt;=(Drivers!C19+Drivers!C20),(T83+U83/2)*Drivers!C36/12,T83*Drivers!C36/12)</f>
        <v>10627.65616</v>
      </c>
      <c r="W83" s="14">
        <f>IF(A83&gt;(Drivers!C19+Drivers!C20),MIN(T83,MAX(0,Summary!C32/12-V83)),0)</f>
        <v>3697.530961</v>
      </c>
      <c r="X83" s="14">
        <f>IF(A83=(Drivers!C19+1),Summary!C31*Drivers!C38,0)</f>
        <v>0</v>
      </c>
      <c r="Y83" s="14">
        <f t="shared" si="3"/>
        <v>1105275.286</v>
      </c>
      <c r="Z83" s="14">
        <f t="shared" si="4"/>
        <v>15029.65065</v>
      </c>
      <c r="AA83" s="14">
        <f t="shared" si="7"/>
        <v>-109673708.3</v>
      </c>
      <c r="AB83" s="14">
        <f t="shared" si="5"/>
        <v>29354.83777</v>
      </c>
      <c r="AC83" s="14">
        <f>(E83+F83+G83+H83)*Drivers!C45</f>
        <v>0</v>
      </c>
      <c r="AD83" s="14">
        <f>IF(A83&lt;=Summary!C18,AB83+IF(A83=Summary!C18,Summary!C40,0),0)</f>
        <v>29354.83777</v>
      </c>
      <c r="AE83" s="14">
        <f>IF(A83&lt;=Summary!C18,Z83+IF(A83=Summary!C18,Summary!C40-Y83,0),0)</f>
        <v>15029.65065</v>
      </c>
      <c r="AF83" s="14">
        <f>AD83-IF(A83=0,Drivers!C44,0)</f>
        <v>29354.83777</v>
      </c>
      <c r="AG83" s="14">
        <f t="shared" si="8"/>
        <v>-110217138.2</v>
      </c>
    </row>
    <row r="84">
      <c r="A84" s="2">
        <v>82.0</v>
      </c>
      <c r="B84" s="15">
        <f>EDATE(Setup!B2,A84)</f>
        <v>48774</v>
      </c>
      <c r="C84" s="2" t="str">
        <f>IF(A84=0,"T0",IF(A84&lt;=Drivers!C19,"Preconstruction",IF(A84&lt;=(Drivers!C19+Drivers!C20),"Construction","Trading")))</f>
        <v>Trading</v>
      </c>
      <c r="D84" s="12">
        <f t="array" ref="D84">IF(AND(A84&gt;Drivers!C19,A84&lt;=(Drivers!C19+Drivers!C20)),SIN(PI()*(A84-Drivers!C19-0.5)/Drivers!C20)/SUMPRODUCT(SIN(PI()*(SEQUENCE(Drivers!C20,1)-0.5)/Drivers!C20)),0)</f>
        <v>0</v>
      </c>
      <c r="E84" s="14">
        <f>(Summary!C10+Summary!C12)*D84*(1+Drivers!C21)^(A84/12)</f>
        <v>0</v>
      </c>
      <c r="F84" s="14">
        <f>IF(AND(A84&gt;0,A84&lt;=Drivers!C19),Summary!C11*Drivers!C40/Drivers!C19*(1+Drivers!C21)^(A84/12),Summary!C11*(1-Drivers!C40 )*D84*(1+Drivers!C21)^(A84/12))</f>
        <v>0</v>
      </c>
      <c r="G84" s="14">
        <f>IF(AND(A84&gt;0,A84&lt;=2),Drivers!C16/2,0)</f>
        <v>0</v>
      </c>
      <c r="H84" s="14">
        <f>IF(A84=(Drivers!C19+Drivers!C20),Drivers!C17*(1+Drivers!C21)^(A84/12),0)</f>
        <v>0</v>
      </c>
      <c r="I84" s="14">
        <f>IF(AND(A84&gt;0,A84&lt;=(Drivers!C19+Drivers!C20)),Drivers!C18*(1+Drivers!C23)^(A84/12),0)</f>
        <v>0</v>
      </c>
      <c r="J84" s="14">
        <f t="shared" si="1"/>
        <v>0</v>
      </c>
      <c r="K84" s="12">
        <f>IF(A84&gt;(Drivers!C19+Drivers!C20),MIN(1,0.5+0.5*(A84-(Drivers!C19+Drivers!C20))/Drivers!C39),0)</f>
        <v>1</v>
      </c>
      <c r="L84" s="14">
        <f>Drivers!C2*(B84-B83)*Drivers!C24*(1+Drivers!C22)^(A84/12)*Drivers!C25*K84</f>
        <v>635375.9243</v>
      </c>
      <c r="M84" s="14">
        <f>L84*Drivers!C26</f>
        <v>127075.1849</v>
      </c>
      <c r="N84" s="14">
        <f>(L84+M84)*Drivers!C27</f>
        <v>266857.8882</v>
      </c>
      <c r="O84" s="14">
        <f>IF(A84&gt;(Drivers!C19+Drivers!C20),Drivers!C28/12*(1+Drivers!C23)^(A84/12),0)</f>
        <v>435785.9563</v>
      </c>
      <c r="P84" s="14">
        <f>(L84+M84)*Drivers!C29</f>
        <v>30498.04436</v>
      </c>
      <c r="Q84" s="14">
        <f>Drivers!C3*Drivers!C30*(1+Drivers!C22)^(A84/12)*Drivers!C31*(1-Drivers!C32 )*K84</f>
        <v>50006.43848</v>
      </c>
      <c r="R84" s="14">
        <f>IF(A84&gt;(Drivers!C19+Drivers!C20),Drivers!C33/12*(1+Drivers!C23)^(A84/12),0)</f>
        <v>65367.89344</v>
      </c>
      <c r="S84" s="14">
        <f t="shared" si="2"/>
        <v>13947.76532</v>
      </c>
      <c r="T84" s="14">
        <f t="shared" si="6"/>
        <v>1105275.286</v>
      </c>
      <c r="U84" s="14">
        <f>IF(AND(A84&gt;Drivers!C19,A84&lt;=(Drivers!C19+Drivers!C20)),Summary!C31*D84,0)</f>
        <v>0</v>
      </c>
      <c r="V84" s="14">
        <f>IF(A84&lt;=(Drivers!C19+Drivers!C20),(T84+U84/2)*Drivers!C36/12,T84*Drivers!C36/12)</f>
        <v>10592.22149</v>
      </c>
      <c r="W84" s="14">
        <f>IF(A84&gt;(Drivers!C19+Drivers!C20),MIN(T84,MAX(0,Summary!C32/12-V84)),0)</f>
        <v>3732.965632</v>
      </c>
      <c r="X84" s="14">
        <f>IF(A84=(Drivers!C19+1),Summary!C31*Drivers!C38,0)</f>
        <v>0</v>
      </c>
      <c r="Y84" s="14">
        <f t="shared" si="3"/>
        <v>1101542.32</v>
      </c>
      <c r="Z84" s="14">
        <f t="shared" si="4"/>
        <v>-377.4218058</v>
      </c>
      <c r="AA84" s="14">
        <f t="shared" si="7"/>
        <v>-109674085.7</v>
      </c>
      <c r="AB84" s="14">
        <f t="shared" si="5"/>
        <v>13947.76532</v>
      </c>
      <c r="AC84" s="14">
        <f>(E84+F84+G84+H84)*Drivers!C45</f>
        <v>0</v>
      </c>
      <c r="AD84" s="14">
        <f>IF(A84&lt;=Summary!C18,AB84+IF(A84=Summary!C18,Summary!C40,0),0)</f>
        <v>13947.76532</v>
      </c>
      <c r="AE84" s="14">
        <f>IF(A84&lt;=Summary!C18,Z84+IF(A84=Summary!C18,Summary!C40-Y84,0),0)</f>
        <v>-377.4218058</v>
      </c>
      <c r="AF84" s="14">
        <f>AD84-IF(A84=0,Drivers!C44,0)</f>
        <v>13947.76532</v>
      </c>
      <c r="AG84" s="14">
        <f t="shared" si="8"/>
        <v>-110203190.4</v>
      </c>
    </row>
    <row r="85">
      <c r="A85" s="2">
        <v>83.0</v>
      </c>
      <c r="B85" s="15">
        <f>EDATE(Setup!B2,A85)</f>
        <v>48805</v>
      </c>
      <c r="C85" s="2" t="str">
        <f>IF(A85=0,"T0",IF(A85&lt;=Drivers!C19,"Preconstruction",IF(A85&lt;=(Drivers!C19+Drivers!C20),"Construction","Trading")))</f>
        <v>Trading</v>
      </c>
      <c r="D85" s="12">
        <f t="array" ref="D85">IF(AND(A85&gt;Drivers!C19,A85&lt;=(Drivers!C19+Drivers!C20)),SIN(PI()*(A85-Drivers!C19-0.5)/Drivers!C20)/SUMPRODUCT(SIN(PI()*(SEQUENCE(Drivers!C20,1)-0.5)/Drivers!C20)),0)</f>
        <v>0</v>
      </c>
      <c r="E85" s="14">
        <f>(Summary!C10+Summary!C12)*D85*(1+Drivers!C21)^(A85/12)</f>
        <v>0</v>
      </c>
      <c r="F85" s="14">
        <f>IF(AND(A85&gt;0,A85&lt;=Drivers!C19),Summary!C11*Drivers!C40/Drivers!C19*(1+Drivers!C21)^(A85/12),Summary!C11*(1-Drivers!C40 )*D85*(1+Drivers!C21)^(A85/12))</f>
        <v>0</v>
      </c>
      <c r="G85" s="14">
        <f>IF(AND(A85&gt;0,A85&lt;=2),Drivers!C16/2,0)</f>
        <v>0</v>
      </c>
      <c r="H85" s="14">
        <f>IF(A85=(Drivers!C19+Drivers!C20),Drivers!C17*(1+Drivers!C21)^(A85/12),0)</f>
        <v>0</v>
      </c>
      <c r="I85" s="14">
        <f>IF(AND(A85&gt;0,A85&lt;=(Drivers!C19+Drivers!C20)),Drivers!C18*(1+Drivers!C23)^(A85/12),0)</f>
        <v>0</v>
      </c>
      <c r="J85" s="14">
        <f t="shared" si="1"/>
        <v>0</v>
      </c>
      <c r="K85" s="12">
        <f>IF(A85&gt;(Drivers!C19+Drivers!C20),MIN(1,0.5+0.5*(A85-(Drivers!C19+Drivers!C20))/Drivers!C39),0)</f>
        <v>1</v>
      </c>
      <c r="L85" s="14">
        <f>Drivers!C2*(B85-B84)*Drivers!C24*(1+Drivers!C22)^(A85/12)*Drivers!C25*K85</f>
        <v>658704.5124</v>
      </c>
      <c r="M85" s="14">
        <f>L85*Drivers!C26</f>
        <v>131740.9025</v>
      </c>
      <c r="N85" s="14">
        <f>(L85+M85)*Drivers!C27</f>
        <v>276655.8952</v>
      </c>
      <c r="O85" s="14">
        <f>IF(A85&gt;(Drivers!C19+Drivers!C20),Drivers!C28/12*(1+Drivers!C23)^(A85/12),0)</f>
        <v>437212.6061</v>
      </c>
      <c r="P85" s="14">
        <f>(L85+M85)*Drivers!C29</f>
        <v>31617.81659</v>
      </c>
      <c r="Q85" s="14">
        <f>Drivers!C3*Drivers!C30*(1+Drivers!C22)^(A85/12)*Drivers!C31*(1-Drivers!C32 )*K85</f>
        <v>50170.14655</v>
      </c>
      <c r="R85" s="14">
        <f>IF(A85&gt;(Drivers!C19+Drivers!C20),Drivers!C33/12*(1+Drivers!C23)^(A85/12),0)</f>
        <v>65581.89092</v>
      </c>
      <c r="S85" s="14">
        <f t="shared" si="2"/>
        <v>29547.35258</v>
      </c>
      <c r="T85" s="14">
        <f t="shared" si="6"/>
        <v>1101542.32</v>
      </c>
      <c r="U85" s="14">
        <f>IF(AND(A85&gt;Drivers!C19,A85&lt;=(Drivers!C19+Drivers!C20)),Summary!C31*D85,0)</f>
        <v>0</v>
      </c>
      <c r="V85" s="14">
        <f>IF(A85&lt;=(Drivers!C19+Drivers!C20),(T85+U85/2)*Drivers!C36/12,T85*Drivers!C36/12)</f>
        <v>10556.44724</v>
      </c>
      <c r="W85" s="14">
        <f>IF(A85&gt;(Drivers!C19+Drivers!C20),MIN(T85,MAX(0,Summary!C32/12-V85)),0)</f>
        <v>3768.739886</v>
      </c>
      <c r="X85" s="14">
        <f>IF(A85=(Drivers!C19+1),Summary!C31*Drivers!C38,0)</f>
        <v>0</v>
      </c>
      <c r="Y85" s="14">
        <f t="shared" si="3"/>
        <v>1097773.58</v>
      </c>
      <c r="Z85" s="14">
        <f t="shared" si="4"/>
        <v>15222.16545</v>
      </c>
      <c r="AA85" s="14">
        <f t="shared" si="7"/>
        <v>-109658863.6</v>
      </c>
      <c r="AB85" s="14">
        <f t="shared" si="5"/>
        <v>29547.35258</v>
      </c>
      <c r="AC85" s="14">
        <f>(E85+F85+G85+H85)*Drivers!C45</f>
        <v>0</v>
      </c>
      <c r="AD85" s="14">
        <f>IF(A85&lt;=Summary!C18,AB85+IF(A85=Summary!C18,Summary!C40,0),0)</f>
        <v>29547.35258</v>
      </c>
      <c r="AE85" s="14">
        <f>IF(A85&lt;=Summary!C18,Z85+IF(A85=Summary!C18,Summary!C40-Y85,0),0)</f>
        <v>15222.16545</v>
      </c>
      <c r="AF85" s="14">
        <f>AD85-IF(A85=0,Drivers!C44,0)</f>
        <v>29547.35258</v>
      </c>
      <c r="AG85" s="14">
        <f t="shared" si="8"/>
        <v>-110173643.1</v>
      </c>
    </row>
    <row r="86">
      <c r="A86" s="2">
        <v>84.0</v>
      </c>
      <c r="B86" s="15">
        <f>EDATE(Setup!B2,A86)</f>
        <v>48836</v>
      </c>
      <c r="C86" s="2" t="str">
        <f>IF(A86=0,"T0",IF(A86&lt;=Drivers!C19,"Preconstruction",IF(A86&lt;=(Drivers!C19+Drivers!C20),"Construction","Trading")))</f>
        <v>Trading</v>
      </c>
      <c r="D86" s="12">
        <f t="array" ref="D86">IF(AND(A86&gt;Drivers!C19,A86&lt;=(Drivers!C19+Drivers!C20)),SIN(PI()*(A86-Drivers!C19-0.5)/Drivers!C20)/SUMPRODUCT(SIN(PI()*(SEQUENCE(Drivers!C20,1)-0.5)/Drivers!C20)),0)</f>
        <v>0</v>
      </c>
      <c r="E86" s="14">
        <f>(Summary!C10+Summary!C12)*D86*(1+Drivers!C21)^(A86/12)</f>
        <v>0</v>
      </c>
      <c r="F86" s="14">
        <f>IF(AND(A86&gt;0,A86&lt;=Drivers!C19),Summary!C11*Drivers!C40/Drivers!C19*(1+Drivers!C21)^(A86/12),Summary!C11*(1-Drivers!C40 )*D86*(1+Drivers!C21)^(A86/12))</f>
        <v>0</v>
      </c>
      <c r="G86" s="14">
        <f>IF(AND(A86&gt;0,A86&lt;=2),Drivers!C16/2,0)</f>
        <v>0</v>
      </c>
      <c r="H86" s="14">
        <f>IF(A86=(Drivers!C19+Drivers!C20),Drivers!C17*(1+Drivers!C21)^(A86/12),0)</f>
        <v>0</v>
      </c>
      <c r="I86" s="14">
        <f>IF(AND(A86&gt;0,A86&lt;=(Drivers!C19+Drivers!C20)),Drivers!C18*(1+Drivers!C23)^(A86/12),0)</f>
        <v>0</v>
      </c>
      <c r="J86" s="14">
        <f t="shared" si="1"/>
        <v>0</v>
      </c>
      <c r="K86" s="12">
        <f>IF(A86&gt;(Drivers!C19+Drivers!C20),MIN(1,0.5+0.5*(A86-(Drivers!C19+Drivers!C20))/Drivers!C39),0)</f>
        <v>1</v>
      </c>
      <c r="L86" s="14">
        <f>Drivers!C2*(B86-B85)*Drivers!C24*(1+Drivers!C22)^(A86/12)*Drivers!C25*K86</f>
        <v>660860.9395</v>
      </c>
      <c r="M86" s="14">
        <f>L86*Drivers!C26</f>
        <v>132172.1879</v>
      </c>
      <c r="N86" s="14">
        <f>(L86+M86)*Drivers!C27</f>
        <v>277561.5946</v>
      </c>
      <c r="O86" s="14">
        <f>IF(A86&gt;(Drivers!C19+Drivers!C20),Drivers!C28/12*(1+Drivers!C23)^(A86/12),0)</f>
        <v>438643.9264</v>
      </c>
      <c r="P86" s="14">
        <f>(L86+M86)*Drivers!C29</f>
        <v>31721.3251</v>
      </c>
      <c r="Q86" s="14">
        <f>Drivers!C3*Drivers!C30*(1+Drivers!C22)^(A86/12)*Drivers!C31*(1-Drivers!C32 )*K86</f>
        <v>50334.39056</v>
      </c>
      <c r="R86" s="14">
        <f>IF(A86&gt;(Drivers!C19+Drivers!C20),Drivers!C33/12*(1+Drivers!C23)^(A86/12),0)</f>
        <v>65796.58896</v>
      </c>
      <c r="S86" s="14">
        <f t="shared" si="2"/>
        <v>29644.08292</v>
      </c>
      <c r="T86" s="14">
        <f t="shared" si="6"/>
        <v>1097773.58</v>
      </c>
      <c r="U86" s="14">
        <f>IF(AND(A86&gt;Drivers!C19,A86&lt;=(Drivers!C19+Drivers!C20)),Summary!C31*D86,0)</f>
        <v>0</v>
      </c>
      <c r="V86" s="14">
        <f>IF(A86&lt;=(Drivers!C19+Drivers!C20),(T86+U86/2)*Drivers!C36/12,T86*Drivers!C36/12)</f>
        <v>10520.33015</v>
      </c>
      <c r="W86" s="14">
        <f>IF(A86&gt;(Drivers!C19+Drivers!C20),MIN(T86,MAX(0,Summary!C32/12-V86)),0)</f>
        <v>3804.856977</v>
      </c>
      <c r="X86" s="14">
        <f>IF(A86=(Drivers!C19+1),Summary!C31*Drivers!C38,0)</f>
        <v>0</v>
      </c>
      <c r="Y86" s="14">
        <f t="shared" si="3"/>
        <v>1093968.723</v>
      </c>
      <c r="Z86" s="14">
        <f t="shared" si="4"/>
        <v>15318.8958</v>
      </c>
      <c r="AA86" s="14">
        <f t="shared" si="7"/>
        <v>-109643544.7</v>
      </c>
      <c r="AB86" s="14">
        <f t="shared" si="5"/>
        <v>29644.08292</v>
      </c>
      <c r="AC86" s="14">
        <f>(E86+F86+G86+H86)*Drivers!C45</f>
        <v>0</v>
      </c>
      <c r="AD86" s="14">
        <f>IF(A86&lt;=Summary!C18,AB86+IF(A86=Summary!C18,Summary!C40,0),0)</f>
        <v>29644.08292</v>
      </c>
      <c r="AE86" s="14">
        <f>IF(A86&lt;=Summary!C18,Z86+IF(A86=Summary!C18,Summary!C40-Y86,0),0)</f>
        <v>15318.8958</v>
      </c>
      <c r="AF86" s="14">
        <f>AD86-IF(A86=0,Drivers!C44,0)</f>
        <v>29644.08292</v>
      </c>
      <c r="AG86" s="14">
        <f t="shared" si="8"/>
        <v>-110143999</v>
      </c>
    </row>
    <row r="87">
      <c r="A87" s="2">
        <v>85.0</v>
      </c>
      <c r="B87" s="15">
        <f>EDATE(Setup!B2,A87)</f>
        <v>48866</v>
      </c>
      <c r="C87" s="2" t="str">
        <f>IF(A87=0,"T0",IF(A87&lt;=Drivers!C19,"Preconstruction",IF(A87&lt;=(Drivers!C19+Drivers!C20),"Construction","Trading")))</f>
        <v>Trading</v>
      </c>
      <c r="D87" s="12">
        <f t="array" ref="D87">IF(AND(A87&gt;Drivers!C19,A87&lt;=(Drivers!C19+Drivers!C20)),SIN(PI()*(A87-Drivers!C19-0.5)/Drivers!C20)/SUMPRODUCT(SIN(PI()*(SEQUENCE(Drivers!C20,1)-0.5)/Drivers!C20)),0)</f>
        <v>0</v>
      </c>
      <c r="E87" s="14">
        <f>(Summary!C10+Summary!C12)*D87*(1+Drivers!C21)^(A87/12)</f>
        <v>0</v>
      </c>
      <c r="F87" s="14">
        <f>IF(AND(A87&gt;0,A87&lt;=Drivers!C19),Summary!C11*Drivers!C40/Drivers!C19*(1+Drivers!C21)^(A87/12),Summary!C11*(1-Drivers!C40 )*D87*(1+Drivers!C21)^(A87/12))</f>
        <v>0</v>
      </c>
      <c r="G87" s="14">
        <f>IF(AND(A87&gt;0,A87&lt;=2),Drivers!C16/2,0)</f>
        <v>0</v>
      </c>
      <c r="H87" s="14">
        <f>IF(A87=(Drivers!C19+Drivers!C20),Drivers!C17*(1+Drivers!C21)^(A87/12),0)</f>
        <v>0</v>
      </c>
      <c r="I87" s="14">
        <f>IF(AND(A87&gt;0,A87&lt;=(Drivers!C19+Drivers!C20)),Drivers!C18*(1+Drivers!C23)^(A87/12),0)</f>
        <v>0</v>
      </c>
      <c r="J87" s="14">
        <f t="shared" si="1"/>
        <v>0</v>
      </c>
      <c r="K87" s="12">
        <f>IF(A87&gt;(Drivers!C19+Drivers!C20),MIN(1,0.5+0.5*(A87-(Drivers!C19+Drivers!C20))/Drivers!C39),0)</f>
        <v>1</v>
      </c>
      <c r="L87" s="14">
        <f>Drivers!C2*(B87-B86)*Drivers!C24*(1+Drivers!C22)^(A87/12)*Drivers!C25*K87</f>
        <v>641636.5416</v>
      </c>
      <c r="M87" s="14">
        <f>L87*Drivers!C26</f>
        <v>128327.3083</v>
      </c>
      <c r="N87" s="14">
        <f>(L87+M87)*Drivers!C27</f>
        <v>269487.3475</v>
      </c>
      <c r="O87" s="14">
        <f>IF(A87&gt;(Drivers!C19+Drivers!C20),Drivers!C28/12*(1+Drivers!C23)^(A87/12),0)</f>
        <v>440079.9325</v>
      </c>
      <c r="P87" s="14">
        <f>(L87+M87)*Drivers!C29</f>
        <v>30798.55399</v>
      </c>
      <c r="Q87" s="14">
        <f>Drivers!C3*Drivers!C30*(1+Drivers!C22)^(A87/12)*Drivers!C31*(1-Drivers!C32 )*K87</f>
        <v>50499.17225</v>
      </c>
      <c r="R87" s="14">
        <f>IF(A87&gt;(Drivers!C19+Drivers!C20),Drivers!C33/12*(1+Drivers!C23)^(A87/12),0)</f>
        <v>66011.98987</v>
      </c>
      <c r="S87" s="14">
        <f t="shared" si="2"/>
        <v>14085.19832</v>
      </c>
      <c r="T87" s="14">
        <f t="shared" si="6"/>
        <v>1093968.723</v>
      </c>
      <c r="U87" s="14">
        <f>IF(AND(A87&gt;Drivers!C19,A87&lt;=(Drivers!C19+Drivers!C20)),Summary!C31*D87,0)</f>
        <v>0</v>
      </c>
      <c r="V87" s="14">
        <f>IF(A87&lt;=(Drivers!C19+Drivers!C20),(T87+U87/2)*Drivers!C36/12,T87*Drivers!C36/12)</f>
        <v>10483.86693</v>
      </c>
      <c r="W87" s="14">
        <f>IF(A87&gt;(Drivers!C19+Drivers!C20),MIN(T87,MAX(0,Summary!C32/12-V87)),0)</f>
        <v>3841.32019</v>
      </c>
      <c r="X87" s="14">
        <f>IF(A87=(Drivers!C19+1),Summary!C31*Drivers!C38,0)</f>
        <v>0</v>
      </c>
      <c r="Y87" s="14">
        <f t="shared" si="3"/>
        <v>1090127.403</v>
      </c>
      <c r="Z87" s="14">
        <f t="shared" si="4"/>
        <v>-239.9888037</v>
      </c>
      <c r="AA87" s="14">
        <f t="shared" si="7"/>
        <v>-109643784.7</v>
      </c>
      <c r="AB87" s="14">
        <f t="shared" si="5"/>
        <v>14085.19832</v>
      </c>
      <c r="AC87" s="14">
        <f>(E87+F87+G87+H87)*Drivers!C45</f>
        <v>0</v>
      </c>
      <c r="AD87" s="14">
        <f>IF(A87&lt;=Summary!C18,AB87+IF(A87=Summary!C18,Summary!C40,0),0)</f>
        <v>14085.19832</v>
      </c>
      <c r="AE87" s="14">
        <f>IF(A87&lt;=Summary!C18,Z87+IF(A87=Summary!C18,Summary!C40-Y87,0),0)</f>
        <v>-239.9888037</v>
      </c>
      <c r="AF87" s="14">
        <f>AD87-IF(A87=0,Drivers!C44,0)</f>
        <v>14085.19832</v>
      </c>
      <c r="AG87" s="14">
        <f t="shared" si="8"/>
        <v>-110129913.8</v>
      </c>
    </row>
    <row r="88">
      <c r="A88" s="2">
        <v>86.0</v>
      </c>
      <c r="B88" s="15">
        <f>EDATE(Setup!B2,A88)</f>
        <v>48897</v>
      </c>
      <c r="C88" s="2" t="str">
        <f>IF(A88=0,"T0",IF(A88&lt;=Drivers!C19,"Preconstruction",IF(A88&lt;=(Drivers!C19+Drivers!C20),"Construction","Trading")))</f>
        <v>Trading</v>
      </c>
      <c r="D88" s="12">
        <f t="array" ref="D88">IF(AND(A88&gt;Drivers!C19,A88&lt;=(Drivers!C19+Drivers!C20)),SIN(PI()*(A88-Drivers!C19-0.5)/Drivers!C20)/SUMPRODUCT(SIN(PI()*(SEQUENCE(Drivers!C20,1)-0.5)/Drivers!C20)),0)</f>
        <v>0</v>
      </c>
      <c r="E88" s="14">
        <f>(Summary!C10+Summary!C12)*D88*(1+Drivers!C21)^(A88/12)</f>
        <v>0</v>
      </c>
      <c r="F88" s="14">
        <f>IF(AND(A88&gt;0,A88&lt;=Drivers!C19),Summary!C11*Drivers!C40/Drivers!C19*(1+Drivers!C21)^(A88/12),Summary!C11*(1-Drivers!C40 )*D88*(1+Drivers!C21)^(A88/12))</f>
        <v>0</v>
      </c>
      <c r="G88" s="14">
        <f>IF(AND(A88&gt;0,A88&lt;=2),Drivers!C16/2,0)</f>
        <v>0</v>
      </c>
      <c r="H88" s="14">
        <f>IF(A88=(Drivers!C19+Drivers!C20),Drivers!C17*(1+Drivers!C21)^(A88/12),0)</f>
        <v>0</v>
      </c>
      <c r="I88" s="14">
        <f>IF(AND(A88&gt;0,A88&lt;=(Drivers!C19+Drivers!C20)),Drivers!C18*(1+Drivers!C23)^(A88/12),0)</f>
        <v>0</v>
      </c>
      <c r="J88" s="14">
        <f t="shared" si="1"/>
        <v>0</v>
      </c>
      <c r="K88" s="12">
        <f>IF(A88&gt;(Drivers!C19+Drivers!C20),MIN(1,0.5+0.5*(A88-(Drivers!C19+Drivers!C20))/Drivers!C39),0)</f>
        <v>1</v>
      </c>
      <c r="L88" s="14">
        <f>Drivers!C2*(B88-B87)*Drivers!C24*(1+Drivers!C22)^(A88/12)*Drivers!C25*K88</f>
        <v>665194.9957</v>
      </c>
      <c r="M88" s="14">
        <f>L88*Drivers!C26</f>
        <v>133038.9991</v>
      </c>
      <c r="N88" s="14">
        <f>(L88+M88)*Drivers!C27</f>
        <v>279381.8982</v>
      </c>
      <c r="O88" s="14">
        <f>IF(A88&gt;(Drivers!C19+Drivers!C20),Drivers!C28/12*(1+Drivers!C23)^(A88/12),0)</f>
        <v>441520.6397</v>
      </c>
      <c r="P88" s="14">
        <f>(L88+M88)*Drivers!C29</f>
        <v>31929.35979</v>
      </c>
      <c r="Q88" s="14">
        <f>Drivers!C3*Drivers!C30*(1+Drivers!C22)^(A88/12)*Drivers!C31*(1-Drivers!C32 )*K88</f>
        <v>50664.4934</v>
      </c>
      <c r="R88" s="14">
        <f>IF(A88&gt;(Drivers!C19+Drivers!C20),Drivers!C33/12*(1+Drivers!C23)^(A88/12),0)</f>
        <v>66228.09595</v>
      </c>
      <c r="S88" s="14">
        <f t="shared" si="2"/>
        <v>29838.49465</v>
      </c>
      <c r="T88" s="14">
        <f t="shared" si="6"/>
        <v>1090127.403</v>
      </c>
      <c r="U88" s="14">
        <f>IF(AND(A88&gt;Drivers!C19,A88&lt;=(Drivers!C19+Drivers!C20)),Summary!C31*D88,0)</f>
        <v>0</v>
      </c>
      <c r="V88" s="14">
        <f>IF(A88&lt;=(Drivers!C19+Drivers!C20),(T88+U88/2)*Drivers!C36/12,T88*Drivers!C36/12)</f>
        <v>10447.05428</v>
      </c>
      <c r="W88" s="14">
        <f>IF(A88&gt;(Drivers!C19+Drivers!C20),MIN(T88,MAX(0,Summary!C32/12-V88)),0)</f>
        <v>3878.132841</v>
      </c>
      <c r="X88" s="14">
        <f>IF(A88=(Drivers!C19+1),Summary!C31*Drivers!C38,0)</f>
        <v>0</v>
      </c>
      <c r="Y88" s="14">
        <f t="shared" si="3"/>
        <v>1086249.27</v>
      </c>
      <c r="Z88" s="14">
        <f t="shared" si="4"/>
        <v>15513.30753</v>
      </c>
      <c r="AA88" s="14">
        <f t="shared" si="7"/>
        <v>-109628271.4</v>
      </c>
      <c r="AB88" s="14">
        <f t="shared" si="5"/>
        <v>29838.49465</v>
      </c>
      <c r="AC88" s="14">
        <f>(E88+F88+G88+H88)*Drivers!C45</f>
        <v>0</v>
      </c>
      <c r="AD88" s="14">
        <f>IF(A88&lt;=Summary!C18,AB88+IF(A88=Summary!C18,Summary!C40,0),0)</f>
        <v>29838.49465</v>
      </c>
      <c r="AE88" s="14">
        <f>IF(A88&lt;=Summary!C18,Z88+IF(A88=Summary!C18,Summary!C40-Y88,0),0)</f>
        <v>15513.30753</v>
      </c>
      <c r="AF88" s="14">
        <f>AD88-IF(A88=0,Drivers!C44,0)</f>
        <v>29838.49465</v>
      </c>
      <c r="AG88" s="14">
        <f t="shared" si="8"/>
        <v>-110100075.3</v>
      </c>
    </row>
    <row r="89">
      <c r="A89" s="2">
        <v>87.0</v>
      </c>
      <c r="B89" s="15">
        <f>EDATE(Setup!B2,A89)</f>
        <v>48927</v>
      </c>
      <c r="C89" s="2" t="str">
        <f>IF(A89=0,"T0",IF(A89&lt;=Drivers!C19,"Preconstruction",IF(A89&lt;=(Drivers!C19+Drivers!C20),"Construction","Trading")))</f>
        <v>Trading</v>
      </c>
      <c r="D89" s="12">
        <f t="array" ref="D89">IF(AND(A89&gt;Drivers!C19,A89&lt;=(Drivers!C19+Drivers!C20)),SIN(PI()*(A89-Drivers!C19-0.5)/Drivers!C20)/SUMPRODUCT(SIN(PI()*(SEQUENCE(Drivers!C20,1)-0.5)/Drivers!C20)),0)</f>
        <v>0</v>
      </c>
      <c r="E89" s="14">
        <f>(Summary!C10+Summary!C12)*D89*(1+Drivers!C21)^(A89/12)</f>
        <v>0</v>
      </c>
      <c r="F89" s="14">
        <f>IF(AND(A89&gt;0,A89&lt;=Drivers!C19),Summary!C11*Drivers!C40/Drivers!C19*(1+Drivers!C21)^(A89/12),Summary!C11*(1-Drivers!C40 )*D89*(1+Drivers!C21)^(A89/12))</f>
        <v>0</v>
      </c>
      <c r="G89" s="14">
        <f>IF(AND(A89&gt;0,A89&lt;=2),Drivers!C16/2,0)</f>
        <v>0</v>
      </c>
      <c r="H89" s="14">
        <f>IF(A89=(Drivers!C19+Drivers!C20),Drivers!C17*(1+Drivers!C21)^(A89/12),0)</f>
        <v>0</v>
      </c>
      <c r="I89" s="14">
        <f>IF(AND(A89&gt;0,A89&lt;=(Drivers!C19+Drivers!C20)),Drivers!C18*(1+Drivers!C23)^(A89/12),0)</f>
        <v>0</v>
      </c>
      <c r="J89" s="14">
        <f t="shared" si="1"/>
        <v>0</v>
      </c>
      <c r="K89" s="12">
        <f>IF(A89&gt;(Drivers!C19+Drivers!C20),MIN(1,0.5+0.5*(A89-(Drivers!C19+Drivers!C20))/Drivers!C39),0)</f>
        <v>1</v>
      </c>
      <c r="L89" s="14">
        <f>Drivers!C2*(B89-B88)*Drivers!C24*(1+Drivers!C22)^(A89/12)*Drivers!C25*K89</f>
        <v>645844.5204</v>
      </c>
      <c r="M89" s="14">
        <f>L89*Drivers!C26</f>
        <v>129168.9041</v>
      </c>
      <c r="N89" s="14">
        <f>(L89+M89)*Drivers!C27</f>
        <v>271254.6986</v>
      </c>
      <c r="O89" s="14">
        <f>IF(A89&gt;(Drivers!C19+Drivers!C20),Drivers!C28/12*(1+Drivers!C23)^(A89/12),0)</f>
        <v>442966.0633</v>
      </c>
      <c r="P89" s="14">
        <f>(L89+M89)*Drivers!C29</f>
        <v>31000.53698</v>
      </c>
      <c r="Q89" s="14">
        <f>Drivers!C3*Drivers!C30*(1+Drivers!C22)^(A89/12)*Drivers!C31*(1-Drivers!C32 )*K89</f>
        <v>50830.35577</v>
      </c>
      <c r="R89" s="14">
        <f>IF(A89&gt;(Drivers!C19+Drivers!C20),Drivers!C33/12*(1+Drivers!C23)^(A89/12),0)</f>
        <v>66444.9095</v>
      </c>
      <c r="S89" s="14">
        <f t="shared" si="2"/>
        <v>14177.57182</v>
      </c>
      <c r="T89" s="14">
        <f t="shared" si="6"/>
        <v>1086249.27</v>
      </c>
      <c r="U89" s="14">
        <f>IF(AND(A89&gt;Drivers!C19,A89&lt;=(Drivers!C19+Drivers!C20)),Summary!C31*D89,0)</f>
        <v>0</v>
      </c>
      <c r="V89" s="14">
        <f>IF(A89&lt;=(Drivers!C19+Drivers!C20),(T89+U89/2)*Drivers!C36/12,T89*Drivers!C36/12)</f>
        <v>10409.88884</v>
      </c>
      <c r="W89" s="14">
        <f>IF(A89&gt;(Drivers!C19+Drivers!C20),MIN(T89,MAX(0,Summary!C32/12-V89)),0)</f>
        <v>3915.298281</v>
      </c>
      <c r="X89" s="14">
        <f>IF(A89=(Drivers!C19+1),Summary!C31*Drivers!C38,0)</f>
        <v>0</v>
      </c>
      <c r="Y89" s="14">
        <f t="shared" si="3"/>
        <v>1082333.972</v>
      </c>
      <c r="Z89" s="14">
        <f t="shared" si="4"/>
        <v>-147.6152992</v>
      </c>
      <c r="AA89" s="14">
        <f t="shared" si="7"/>
        <v>-109628419</v>
      </c>
      <c r="AB89" s="14">
        <f t="shared" si="5"/>
        <v>14177.57182</v>
      </c>
      <c r="AC89" s="14">
        <f>(E89+F89+G89+H89)*Drivers!C45</f>
        <v>0</v>
      </c>
      <c r="AD89" s="14">
        <f>IF(A89&lt;=Summary!C18,AB89+IF(A89=Summary!C18,Summary!C40,0),0)</f>
        <v>14177.57182</v>
      </c>
      <c r="AE89" s="14">
        <f>IF(A89&lt;=Summary!C18,Z89+IF(A89=Summary!C18,Summary!C40-Y89,0),0)</f>
        <v>-147.6152992</v>
      </c>
      <c r="AF89" s="14">
        <f>AD89-IF(A89=0,Drivers!C44,0)</f>
        <v>14177.57182</v>
      </c>
      <c r="AG89" s="14">
        <f t="shared" si="8"/>
        <v>-110085897.7</v>
      </c>
    </row>
    <row r="90">
      <c r="A90" s="2">
        <v>88.0</v>
      </c>
      <c r="B90" s="15">
        <f>EDATE(Setup!B2,A90)</f>
        <v>48958</v>
      </c>
      <c r="C90" s="2" t="str">
        <f>IF(A90=0,"T0",IF(A90&lt;=Drivers!C19,"Preconstruction",IF(A90&lt;=(Drivers!C19+Drivers!C20),"Construction","Trading")))</f>
        <v>Trading</v>
      </c>
      <c r="D90" s="12">
        <f t="array" ref="D90">IF(AND(A90&gt;Drivers!C19,A90&lt;=(Drivers!C19+Drivers!C20)),SIN(PI()*(A90-Drivers!C19-0.5)/Drivers!C20)/SUMPRODUCT(SIN(PI()*(SEQUENCE(Drivers!C20,1)-0.5)/Drivers!C20)),0)</f>
        <v>0</v>
      </c>
      <c r="E90" s="14">
        <f>(Summary!C10+Summary!C12)*D90*(1+Drivers!C21)^(A90/12)</f>
        <v>0</v>
      </c>
      <c r="F90" s="14">
        <f>IF(AND(A90&gt;0,A90&lt;=Drivers!C19),Summary!C11*Drivers!C40/Drivers!C19*(1+Drivers!C21)^(A90/12),Summary!C11*(1-Drivers!C40 )*D90*(1+Drivers!C21)^(A90/12))</f>
        <v>0</v>
      </c>
      <c r="G90" s="14">
        <f>IF(AND(A90&gt;0,A90&lt;=2),Drivers!C16/2,0)</f>
        <v>0</v>
      </c>
      <c r="H90" s="14">
        <f>IF(A90=(Drivers!C19+Drivers!C20),Drivers!C17*(1+Drivers!C21)^(A90/12),0)</f>
        <v>0</v>
      </c>
      <c r="I90" s="14">
        <f>IF(AND(A90&gt;0,A90&lt;=(Drivers!C19+Drivers!C20)),Drivers!C18*(1+Drivers!C23)^(A90/12),0)</f>
        <v>0</v>
      </c>
      <c r="J90" s="14">
        <f t="shared" si="1"/>
        <v>0</v>
      </c>
      <c r="K90" s="12">
        <f>IF(A90&gt;(Drivers!C19+Drivers!C20),MIN(1,0.5+0.5*(A90-(Drivers!C19+Drivers!C20))/Drivers!C39),0)</f>
        <v>1</v>
      </c>
      <c r="L90" s="14">
        <f>Drivers!C2*(B90-B89)*Drivers!C24*(1+Drivers!C22)^(A90/12)*Drivers!C25*K90</f>
        <v>669557.4755</v>
      </c>
      <c r="M90" s="14">
        <f>L90*Drivers!C26</f>
        <v>133911.4951</v>
      </c>
      <c r="N90" s="14">
        <f>(L90+M90)*Drivers!C27</f>
        <v>281214.1397</v>
      </c>
      <c r="O90" s="14">
        <f>IF(A90&gt;(Drivers!C19+Drivers!C20),Drivers!C28/12*(1+Drivers!C23)^(A90/12),0)</f>
        <v>444416.219</v>
      </c>
      <c r="P90" s="14">
        <f>(L90+M90)*Drivers!C29</f>
        <v>32138.75882</v>
      </c>
      <c r="Q90" s="14">
        <f>Drivers!C3*Drivers!C30*(1+Drivers!C22)^(A90/12)*Drivers!C31*(1-Drivers!C32 )*K90</f>
        <v>50996.76113</v>
      </c>
      <c r="R90" s="14">
        <f>IF(A90&gt;(Drivers!C19+Drivers!C20),Drivers!C33/12*(1+Drivers!C23)^(A90/12),0)</f>
        <v>66662.43285</v>
      </c>
      <c r="S90" s="14">
        <f t="shared" si="2"/>
        <v>30034.18138</v>
      </c>
      <c r="T90" s="14">
        <f t="shared" si="6"/>
        <v>1082333.972</v>
      </c>
      <c r="U90" s="14">
        <f>IF(AND(A90&gt;Drivers!C19,A90&lt;=(Drivers!C19+Drivers!C20)),Summary!C31*D90,0)</f>
        <v>0</v>
      </c>
      <c r="V90" s="14">
        <f>IF(A90&lt;=(Drivers!C19+Drivers!C20),(T90+U90/2)*Drivers!C36/12,T90*Drivers!C36/12)</f>
        <v>10372.36723</v>
      </c>
      <c r="W90" s="14">
        <f>IF(A90&gt;(Drivers!C19+Drivers!C20),MIN(T90,MAX(0,Summary!C32/12-V90)),0)</f>
        <v>3952.81989</v>
      </c>
      <c r="X90" s="14">
        <f>IF(A90=(Drivers!C19+1),Summary!C31*Drivers!C38,0)</f>
        <v>0</v>
      </c>
      <c r="Y90" s="14">
        <f t="shared" si="3"/>
        <v>1078381.152</v>
      </c>
      <c r="Z90" s="14">
        <f t="shared" si="4"/>
        <v>15708.99425</v>
      </c>
      <c r="AA90" s="14">
        <f t="shared" si="7"/>
        <v>-109612710</v>
      </c>
      <c r="AB90" s="14">
        <f t="shared" si="5"/>
        <v>30034.18138</v>
      </c>
      <c r="AC90" s="14">
        <f>(E90+F90+G90+H90)*Drivers!C45</f>
        <v>0</v>
      </c>
      <c r="AD90" s="14">
        <f>IF(A90&lt;=Summary!C18,AB90+IF(A90=Summary!C18,Summary!C40,0),0)</f>
        <v>30034.18138</v>
      </c>
      <c r="AE90" s="14">
        <f>IF(A90&lt;=Summary!C18,Z90+IF(A90=Summary!C18,Summary!C40-Y90,0),0)</f>
        <v>15708.99425</v>
      </c>
      <c r="AF90" s="14">
        <f>AD90-IF(A90=0,Drivers!C44,0)</f>
        <v>30034.18138</v>
      </c>
      <c r="AG90" s="14">
        <f t="shared" si="8"/>
        <v>-110055863.5</v>
      </c>
    </row>
    <row r="91">
      <c r="A91" s="2">
        <v>89.0</v>
      </c>
      <c r="B91" s="15">
        <f>EDATE(Setup!B2,A91)</f>
        <v>48989</v>
      </c>
      <c r="C91" s="2" t="str">
        <f>IF(A91=0,"T0",IF(A91&lt;=Drivers!C19,"Preconstruction",IF(A91&lt;=(Drivers!C19+Drivers!C20),"Construction","Trading")))</f>
        <v>Trading</v>
      </c>
      <c r="D91" s="12">
        <f t="array" ref="D91">IF(AND(A91&gt;Drivers!C19,A91&lt;=(Drivers!C19+Drivers!C20)),SIN(PI()*(A91-Drivers!C19-0.5)/Drivers!C20)/SUMPRODUCT(SIN(PI()*(SEQUENCE(Drivers!C20,1)-0.5)/Drivers!C20)),0)</f>
        <v>0</v>
      </c>
      <c r="E91" s="14">
        <f>(Summary!C10+Summary!C12)*D91*(1+Drivers!C21)^(A91/12)</f>
        <v>0</v>
      </c>
      <c r="F91" s="14">
        <f>IF(AND(A91&gt;0,A91&lt;=Drivers!C19),Summary!C11*Drivers!C40/Drivers!C19*(1+Drivers!C21)^(A91/12),Summary!C11*(1-Drivers!C40 )*D91*(1+Drivers!C21)^(A91/12))</f>
        <v>0</v>
      </c>
      <c r="G91" s="14">
        <f>IF(AND(A91&gt;0,A91&lt;=2),Drivers!C16/2,0)</f>
        <v>0</v>
      </c>
      <c r="H91" s="14">
        <f>IF(A91=(Drivers!C19+Drivers!C20),Drivers!C17*(1+Drivers!C21)^(A91/12),0)</f>
        <v>0</v>
      </c>
      <c r="I91" s="14">
        <f>IF(AND(A91&gt;0,A91&lt;=(Drivers!C19+Drivers!C20)),Drivers!C18*(1+Drivers!C23)^(A91/12),0)</f>
        <v>0</v>
      </c>
      <c r="J91" s="14">
        <f t="shared" si="1"/>
        <v>0</v>
      </c>
      <c r="K91" s="12">
        <f>IF(A91&gt;(Drivers!C19+Drivers!C20),MIN(1,0.5+0.5*(A91-(Drivers!C19+Drivers!C20))/Drivers!C39),0)</f>
        <v>1</v>
      </c>
      <c r="L91" s="14">
        <f>Drivers!C2*(B91-B90)*Drivers!C24*(1+Drivers!C22)^(A91/12)*Drivers!C25*K91</f>
        <v>671749.4324</v>
      </c>
      <c r="M91" s="14">
        <f>L91*Drivers!C26</f>
        <v>134349.8865</v>
      </c>
      <c r="N91" s="14">
        <f>(L91+M91)*Drivers!C27</f>
        <v>282134.7616</v>
      </c>
      <c r="O91" s="14">
        <f>IF(A91&gt;(Drivers!C19+Drivers!C20),Drivers!C28/12*(1+Drivers!C23)^(A91/12),0)</f>
        <v>445871.122</v>
      </c>
      <c r="P91" s="14">
        <f>(L91+M91)*Drivers!C29</f>
        <v>32243.97276</v>
      </c>
      <c r="Q91" s="14">
        <f>Drivers!C3*Drivers!C30*(1+Drivers!C22)^(A91/12)*Drivers!C31*(1-Drivers!C32 )*K91</f>
        <v>51163.71125</v>
      </c>
      <c r="R91" s="14">
        <f>IF(A91&gt;(Drivers!C19+Drivers!C20),Drivers!C33/12*(1+Drivers!C23)^(A91/12),0)</f>
        <v>66880.6683</v>
      </c>
      <c r="S91" s="14">
        <f t="shared" si="2"/>
        <v>30132.50547</v>
      </c>
      <c r="T91" s="14">
        <f t="shared" si="6"/>
        <v>1078381.152</v>
      </c>
      <c r="U91" s="14">
        <f>IF(AND(A91&gt;Drivers!C19,A91&lt;=(Drivers!C19+Drivers!C20)),Summary!C31*D91,0)</f>
        <v>0</v>
      </c>
      <c r="V91" s="14">
        <f>IF(A91&lt;=(Drivers!C19+Drivers!C20),(T91+U91/2)*Drivers!C36/12,T91*Drivers!C36/12)</f>
        <v>10334.48604</v>
      </c>
      <c r="W91" s="14">
        <f>IF(A91&gt;(Drivers!C19+Drivers!C20),MIN(T91,MAX(0,Summary!C32/12-V91)),0)</f>
        <v>3990.70108</v>
      </c>
      <c r="X91" s="14">
        <f>IF(A91=(Drivers!C19+1),Summary!C31*Drivers!C38,0)</f>
        <v>0</v>
      </c>
      <c r="Y91" s="14">
        <f t="shared" si="3"/>
        <v>1074390.451</v>
      </c>
      <c r="Z91" s="14">
        <f t="shared" si="4"/>
        <v>15807.31835</v>
      </c>
      <c r="AA91" s="14">
        <f t="shared" si="7"/>
        <v>-109596902.7</v>
      </c>
      <c r="AB91" s="14">
        <f t="shared" si="5"/>
        <v>30132.50547</v>
      </c>
      <c r="AC91" s="14">
        <f>(E91+F91+G91+H91)*Drivers!C45</f>
        <v>0</v>
      </c>
      <c r="AD91" s="14">
        <f>IF(A91&lt;=Summary!C18,AB91+IF(A91=Summary!C18,Summary!C40,0),0)</f>
        <v>30132.50547</v>
      </c>
      <c r="AE91" s="14">
        <f>IF(A91&lt;=Summary!C18,Z91+IF(A91=Summary!C18,Summary!C40-Y91,0),0)</f>
        <v>15807.31835</v>
      </c>
      <c r="AF91" s="14">
        <f>AD91-IF(A91=0,Drivers!C44,0)</f>
        <v>30132.50547</v>
      </c>
      <c r="AG91" s="14">
        <f t="shared" si="8"/>
        <v>-110025731</v>
      </c>
    </row>
    <row r="92">
      <c r="A92" s="2">
        <v>90.0</v>
      </c>
      <c r="B92" s="15">
        <f>EDATE(Setup!B2,A92)</f>
        <v>49017</v>
      </c>
      <c r="C92" s="2" t="str">
        <f>IF(A92=0,"T0",IF(A92&lt;=Drivers!C19,"Preconstruction",IF(A92&lt;=(Drivers!C19+Drivers!C20),"Construction","Trading")))</f>
        <v>Trading</v>
      </c>
      <c r="D92" s="12">
        <f t="array" ref="D92">IF(AND(A92&gt;Drivers!C19,A92&lt;=(Drivers!C19+Drivers!C20)),SIN(PI()*(A92-Drivers!C19-0.5)/Drivers!C20)/SUMPRODUCT(SIN(PI()*(SEQUENCE(Drivers!C20,1)-0.5)/Drivers!C20)),0)</f>
        <v>0</v>
      </c>
      <c r="E92" s="14">
        <f>(Summary!C10+Summary!C12)*D92*(1+Drivers!C21)^(A92/12)</f>
        <v>0</v>
      </c>
      <c r="F92" s="14">
        <f>IF(AND(A92&gt;0,A92&lt;=Drivers!C19),Summary!C11*Drivers!C40/Drivers!C19*(1+Drivers!C21)^(A92/12),Summary!C11*(1-Drivers!C40 )*D92*(1+Drivers!C21)^(A92/12))</f>
        <v>0</v>
      </c>
      <c r="G92" s="14">
        <f>IF(AND(A92&gt;0,A92&lt;=2),Drivers!C16/2,0)</f>
        <v>0</v>
      </c>
      <c r="H92" s="14">
        <f>IF(A92=(Drivers!C19+Drivers!C20),Drivers!C17*(1+Drivers!C21)^(A92/12),0)</f>
        <v>0</v>
      </c>
      <c r="I92" s="14">
        <f>IF(AND(A92&gt;0,A92&lt;=(Drivers!C19+Drivers!C20)),Drivers!C18*(1+Drivers!C23)^(A92/12),0)</f>
        <v>0</v>
      </c>
      <c r="J92" s="14">
        <f t="shared" si="1"/>
        <v>0</v>
      </c>
      <c r="K92" s="12">
        <f>IF(A92&gt;(Drivers!C19+Drivers!C20),MIN(1,0.5+0.5*(A92-(Drivers!C19+Drivers!C20))/Drivers!C39),0)</f>
        <v>1</v>
      </c>
      <c r="L92" s="14">
        <f>Drivers!C2*(B92-B91)*Drivers!C24*(1+Drivers!C22)^(A92/12)*Drivers!C25*K92</f>
        <v>608727.7364</v>
      </c>
      <c r="M92" s="14">
        <f>L92*Drivers!C26</f>
        <v>121745.5473</v>
      </c>
      <c r="N92" s="14">
        <f>(L92+M92)*Drivers!C27</f>
        <v>255665.6493</v>
      </c>
      <c r="O92" s="14">
        <f>IF(A92&gt;(Drivers!C19+Drivers!C20),Drivers!C28/12*(1+Drivers!C23)^(A92/12),0)</f>
        <v>447330.7881</v>
      </c>
      <c r="P92" s="14">
        <f>(L92+M92)*Drivers!C29</f>
        <v>29218.93135</v>
      </c>
      <c r="Q92" s="14">
        <f>Drivers!C3*Drivers!C30*(1+Drivers!C22)^(A92/12)*Drivers!C31*(1-Drivers!C32 )*K92</f>
        <v>51331.20793</v>
      </c>
      <c r="R92" s="14">
        <f>IF(A92&gt;(Drivers!C19+Drivers!C20),Drivers!C33/12*(1+Drivers!C23)^(A92/12),0)</f>
        <v>67099.61821</v>
      </c>
      <c r="S92" s="14">
        <f t="shared" si="2"/>
        <v>-17510.4953</v>
      </c>
      <c r="T92" s="14">
        <f t="shared" si="6"/>
        <v>1074390.451</v>
      </c>
      <c r="U92" s="14">
        <f>IF(AND(A92&gt;Drivers!C19,A92&lt;=(Drivers!C19+Drivers!C20)),Summary!C31*D92,0)</f>
        <v>0</v>
      </c>
      <c r="V92" s="14">
        <f>IF(A92&lt;=(Drivers!C19+Drivers!C20),(T92+U92/2)*Drivers!C36/12,T92*Drivers!C36/12)</f>
        <v>10296.24182</v>
      </c>
      <c r="W92" s="14">
        <f>IF(A92&gt;(Drivers!C19+Drivers!C20),MIN(T92,MAX(0,Summary!C32/12-V92)),0)</f>
        <v>4028.945299</v>
      </c>
      <c r="X92" s="14">
        <f>IF(A92=(Drivers!C19+1),Summary!C31*Drivers!C38,0)</f>
        <v>0</v>
      </c>
      <c r="Y92" s="14">
        <f t="shared" si="3"/>
        <v>1070361.506</v>
      </c>
      <c r="Z92" s="14">
        <f t="shared" si="4"/>
        <v>-31835.68242</v>
      </c>
      <c r="AA92" s="14">
        <f t="shared" si="7"/>
        <v>-109628738.3</v>
      </c>
      <c r="AB92" s="14">
        <f t="shared" si="5"/>
        <v>-17510.4953</v>
      </c>
      <c r="AC92" s="14">
        <f>(E92+F92+G92+H92)*Drivers!C45</f>
        <v>0</v>
      </c>
      <c r="AD92" s="14">
        <f>IF(A92&lt;=Summary!C18,AB92+IF(A92=Summary!C18,Summary!C40,0),0)</f>
        <v>-17510.4953</v>
      </c>
      <c r="AE92" s="14">
        <f>IF(A92&lt;=Summary!C18,Z92+IF(A92=Summary!C18,Summary!C40-Y92,0),0)</f>
        <v>-31835.68242</v>
      </c>
      <c r="AF92" s="14">
        <f>AD92-IF(A92=0,Drivers!C44,0)</f>
        <v>-17510.4953</v>
      </c>
      <c r="AG92" s="14">
        <f t="shared" si="8"/>
        <v>-110043241.5</v>
      </c>
    </row>
    <row r="93">
      <c r="A93" s="2">
        <v>91.0</v>
      </c>
      <c r="B93" s="15">
        <f>EDATE(Setup!B2,A93)</f>
        <v>49048</v>
      </c>
      <c r="C93" s="2" t="str">
        <f>IF(A93=0,"T0",IF(A93&lt;=Drivers!C19,"Preconstruction",IF(A93&lt;=(Drivers!C19+Drivers!C20),"Construction","Trading")))</f>
        <v>Trading</v>
      </c>
      <c r="D93" s="12">
        <f t="array" ref="D93">IF(AND(A93&gt;Drivers!C19,A93&lt;=(Drivers!C19+Drivers!C20)),SIN(PI()*(A93-Drivers!C19-0.5)/Drivers!C20)/SUMPRODUCT(SIN(PI()*(SEQUENCE(Drivers!C20,1)-0.5)/Drivers!C20)),0)</f>
        <v>0</v>
      </c>
      <c r="E93" s="14">
        <f>(Summary!C10+Summary!C12)*D93*(1+Drivers!C21)^(A93/12)</f>
        <v>0</v>
      </c>
      <c r="F93" s="14">
        <f>IF(AND(A93&gt;0,A93&lt;=Drivers!C19),Summary!C11*Drivers!C40/Drivers!C19*(1+Drivers!C21)^(A93/12),Summary!C11*(1-Drivers!C40 )*D93*(1+Drivers!C21)^(A93/12))</f>
        <v>0</v>
      </c>
      <c r="G93" s="14">
        <f>IF(AND(A93&gt;0,A93&lt;=2),Drivers!C16/2,0)</f>
        <v>0</v>
      </c>
      <c r="H93" s="14">
        <f>IF(A93=(Drivers!C19+Drivers!C20),Drivers!C17*(1+Drivers!C21)^(A93/12),0)</f>
        <v>0</v>
      </c>
      <c r="I93" s="14">
        <f>IF(AND(A93&gt;0,A93&lt;=(Drivers!C19+Drivers!C20)),Drivers!C18*(1+Drivers!C23)^(A93/12),0)</f>
        <v>0</v>
      </c>
      <c r="J93" s="14">
        <f t="shared" si="1"/>
        <v>0</v>
      </c>
      <c r="K93" s="12">
        <f>IF(A93&gt;(Drivers!C19+Drivers!C20),MIN(1,0.5+0.5*(A93-(Drivers!C19+Drivers!C20))/Drivers!C39),0)</f>
        <v>1</v>
      </c>
      <c r="L93" s="14">
        <f>Drivers!C2*(B93-B92)*Drivers!C24*(1+Drivers!C22)^(A93/12)*Drivers!C25*K93</f>
        <v>676154.8975</v>
      </c>
      <c r="M93" s="14">
        <f>L93*Drivers!C26</f>
        <v>135230.9795</v>
      </c>
      <c r="N93" s="14">
        <f>(L93+M93)*Drivers!C27</f>
        <v>283985.057</v>
      </c>
      <c r="O93" s="14">
        <f>IF(A93&gt;(Drivers!C19+Drivers!C20),Drivers!C28/12*(1+Drivers!C23)^(A93/12),0)</f>
        <v>448795.2327</v>
      </c>
      <c r="P93" s="14">
        <f>(L93+M93)*Drivers!C29</f>
        <v>32455.43508</v>
      </c>
      <c r="Q93" s="14">
        <f>Drivers!C3*Drivers!C30*(1+Drivers!C22)^(A93/12)*Drivers!C31*(1-Drivers!C32 )*K93</f>
        <v>51499.25295</v>
      </c>
      <c r="R93" s="14">
        <f>IF(A93&gt;(Drivers!C19+Drivers!C20),Drivers!C33/12*(1+Drivers!C23)^(A93/12),0)</f>
        <v>67319.2849</v>
      </c>
      <c r="S93" s="14">
        <f t="shared" si="2"/>
        <v>30330.12038</v>
      </c>
      <c r="T93" s="14">
        <f t="shared" si="6"/>
        <v>1070361.506</v>
      </c>
      <c r="U93" s="14">
        <f>IF(AND(A93&gt;Drivers!C19,A93&lt;=(Drivers!C19+Drivers!C20)),Summary!C31*D93,0)</f>
        <v>0</v>
      </c>
      <c r="V93" s="14">
        <f>IF(A93&lt;=(Drivers!C19+Drivers!C20),(T93+U93/2)*Drivers!C36/12,T93*Drivers!C36/12)</f>
        <v>10257.6311</v>
      </c>
      <c r="W93" s="14">
        <f>IF(A93&gt;(Drivers!C19+Drivers!C20),MIN(T93,MAX(0,Summary!C32/12-V93)),0)</f>
        <v>4067.556025</v>
      </c>
      <c r="X93" s="14">
        <f>IF(A93=(Drivers!C19+1),Summary!C31*Drivers!C38,0)</f>
        <v>0</v>
      </c>
      <c r="Y93" s="14">
        <f t="shared" si="3"/>
        <v>1066293.95</v>
      </c>
      <c r="Z93" s="14">
        <f t="shared" si="4"/>
        <v>16004.93325</v>
      </c>
      <c r="AA93" s="14">
        <f t="shared" si="7"/>
        <v>-109612733.4</v>
      </c>
      <c r="AB93" s="14">
        <f t="shared" si="5"/>
        <v>30330.12038</v>
      </c>
      <c r="AC93" s="14">
        <f>(E93+F93+G93+H93)*Drivers!C45</f>
        <v>0</v>
      </c>
      <c r="AD93" s="14">
        <f>IF(A93&lt;=Summary!C18,AB93+IF(A93=Summary!C18,Summary!C40,0),0)</f>
        <v>30330.12038</v>
      </c>
      <c r="AE93" s="14">
        <f>IF(A93&lt;=Summary!C18,Z93+IF(A93=Summary!C18,Summary!C40-Y93,0),0)</f>
        <v>16004.93325</v>
      </c>
      <c r="AF93" s="14">
        <f>AD93-IF(A93=0,Drivers!C44,0)</f>
        <v>30330.12038</v>
      </c>
      <c r="AG93" s="14">
        <f t="shared" si="8"/>
        <v>-110012911.4</v>
      </c>
    </row>
    <row r="94">
      <c r="A94" s="2">
        <v>92.0</v>
      </c>
      <c r="B94" s="15">
        <f>EDATE(Setup!B2,A94)</f>
        <v>49078</v>
      </c>
      <c r="C94" s="2" t="str">
        <f>IF(A94=0,"T0",IF(A94&lt;=Drivers!C19,"Preconstruction",IF(A94&lt;=(Drivers!C19+Drivers!C20),"Construction","Trading")))</f>
        <v>Trading</v>
      </c>
      <c r="D94" s="12">
        <f t="array" ref="D94">IF(AND(A94&gt;Drivers!C19,A94&lt;=(Drivers!C19+Drivers!C20)),SIN(PI()*(A94-Drivers!C19-0.5)/Drivers!C20)/SUMPRODUCT(SIN(PI()*(SEQUENCE(Drivers!C20,1)-0.5)/Drivers!C20)),0)</f>
        <v>0</v>
      </c>
      <c r="E94" s="14">
        <f>(Summary!C10+Summary!C12)*D94*(1+Drivers!C21)^(A94/12)</f>
        <v>0</v>
      </c>
      <c r="F94" s="14">
        <f>IF(AND(A94&gt;0,A94&lt;=Drivers!C19),Summary!C11*Drivers!C40/Drivers!C19*(1+Drivers!C21)^(A94/12),Summary!C11*(1-Drivers!C40 )*D94*(1+Drivers!C21)^(A94/12))</f>
        <v>0</v>
      </c>
      <c r="G94" s="14">
        <f>IF(AND(A94&gt;0,A94&lt;=2),Drivers!C16/2,0)</f>
        <v>0</v>
      </c>
      <c r="H94" s="14">
        <f>IF(A94=(Drivers!C19+Drivers!C20),Drivers!C17*(1+Drivers!C21)^(A94/12),0)</f>
        <v>0</v>
      </c>
      <c r="I94" s="14">
        <f>IF(AND(A94&gt;0,A94&lt;=(Drivers!C19+Drivers!C20)),Drivers!C18*(1+Drivers!C23)^(A94/12),0)</f>
        <v>0</v>
      </c>
      <c r="J94" s="14">
        <f t="shared" si="1"/>
        <v>0</v>
      </c>
      <c r="K94" s="12">
        <f>IF(A94&gt;(Drivers!C19+Drivers!C20),MIN(1,0.5+0.5*(A94-(Drivers!C19+Drivers!C20))/Drivers!C39),0)</f>
        <v>1</v>
      </c>
      <c r="L94" s="14">
        <f>Drivers!C2*(B94-B93)*Drivers!C24*(1+Drivers!C22)^(A94/12)*Drivers!C25*K94</f>
        <v>656485.5994</v>
      </c>
      <c r="M94" s="14">
        <f>L94*Drivers!C26</f>
        <v>131297.1199</v>
      </c>
      <c r="N94" s="14">
        <f>(L94+M94)*Drivers!C27</f>
        <v>275723.9517</v>
      </c>
      <c r="O94" s="14">
        <f>IF(A94&gt;(Drivers!C19+Drivers!C20),Drivers!C28/12*(1+Drivers!C23)^(A94/12),0)</f>
        <v>450264.4715</v>
      </c>
      <c r="P94" s="14">
        <f>(L94+M94)*Drivers!C29</f>
        <v>31511.30877</v>
      </c>
      <c r="Q94" s="14">
        <f>Drivers!C3*Drivers!C30*(1+Drivers!C22)^(A94/12)*Drivers!C31*(1-Drivers!C32 )*K94</f>
        <v>51667.8481</v>
      </c>
      <c r="R94" s="14">
        <f>IF(A94&gt;(Drivers!C19+Drivers!C20),Drivers!C33/12*(1+Drivers!C23)^(A94/12),0)</f>
        <v>67539.67072</v>
      </c>
      <c r="S94" s="14">
        <f t="shared" si="2"/>
        <v>14411.16467</v>
      </c>
      <c r="T94" s="14">
        <f t="shared" si="6"/>
        <v>1066293.95</v>
      </c>
      <c r="U94" s="14">
        <f>IF(AND(A94&gt;Drivers!C19,A94&lt;=(Drivers!C19+Drivers!C20)),Summary!C31*D94,0)</f>
        <v>0</v>
      </c>
      <c r="V94" s="14">
        <f>IF(A94&lt;=(Drivers!C19+Drivers!C20),(T94+U94/2)*Drivers!C36/12,T94*Drivers!C36/12)</f>
        <v>10218.65035</v>
      </c>
      <c r="W94" s="14">
        <f>IF(A94&gt;(Drivers!C19+Drivers!C20),MIN(T94,MAX(0,Summary!C32/12-V94)),0)</f>
        <v>4106.53677</v>
      </c>
      <c r="X94" s="14">
        <f>IF(A94=(Drivers!C19+1),Summary!C31*Drivers!C38,0)</f>
        <v>0</v>
      </c>
      <c r="Y94" s="14">
        <f t="shared" si="3"/>
        <v>1062187.413</v>
      </c>
      <c r="Z94" s="14">
        <f t="shared" si="4"/>
        <v>85.97755084</v>
      </c>
      <c r="AA94" s="14">
        <f t="shared" si="7"/>
        <v>-109612647.4</v>
      </c>
      <c r="AB94" s="14">
        <f t="shared" si="5"/>
        <v>14411.16467</v>
      </c>
      <c r="AC94" s="14">
        <f>(E94+F94+G94+H94)*Drivers!C45</f>
        <v>0</v>
      </c>
      <c r="AD94" s="14">
        <f>IF(A94&lt;=Summary!C18,AB94+IF(A94=Summary!C18,Summary!C40,0),0)</f>
        <v>14411.16467</v>
      </c>
      <c r="AE94" s="14">
        <f>IF(A94&lt;=Summary!C18,Z94+IF(A94=Summary!C18,Summary!C40-Y94,0),0)</f>
        <v>85.97755084</v>
      </c>
      <c r="AF94" s="14">
        <f>AD94-IF(A94=0,Drivers!C44,0)</f>
        <v>14411.16467</v>
      </c>
      <c r="AG94" s="14">
        <f t="shared" si="8"/>
        <v>-109998500.2</v>
      </c>
    </row>
    <row r="95">
      <c r="A95" s="2">
        <v>93.0</v>
      </c>
      <c r="B95" s="15">
        <f>EDATE(Setup!B2,A95)</f>
        <v>49109</v>
      </c>
      <c r="C95" s="2" t="str">
        <f>IF(A95=0,"T0",IF(A95&lt;=Drivers!C19,"Preconstruction",IF(A95&lt;=(Drivers!C19+Drivers!C20),"Construction","Trading")))</f>
        <v>Trading</v>
      </c>
      <c r="D95" s="12">
        <f t="array" ref="D95">IF(AND(A95&gt;Drivers!C19,A95&lt;=(Drivers!C19+Drivers!C20)),SIN(PI()*(A95-Drivers!C19-0.5)/Drivers!C20)/SUMPRODUCT(SIN(PI()*(SEQUENCE(Drivers!C20,1)-0.5)/Drivers!C20)),0)</f>
        <v>0</v>
      </c>
      <c r="E95" s="14">
        <f>(Summary!C10+Summary!C12)*D95*(1+Drivers!C21)^(A95/12)</f>
        <v>0</v>
      </c>
      <c r="F95" s="14">
        <f>IF(AND(A95&gt;0,A95&lt;=Drivers!C19),Summary!C11*Drivers!C40/Drivers!C19*(1+Drivers!C21)^(A95/12),Summary!C11*(1-Drivers!C40 )*D95*(1+Drivers!C21)^(A95/12))</f>
        <v>0</v>
      </c>
      <c r="G95" s="14">
        <f>IF(AND(A95&gt;0,A95&lt;=2),Drivers!C16/2,0)</f>
        <v>0</v>
      </c>
      <c r="H95" s="14">
        <f>IF(A95=(Drivers!C19+Drivers!C20),Drivers!C17*(1+Drivers!C21)^(A95/12),0)</f>
        <v>0</v>
      </c>
      <c r="I95" s="14">
        <f>IF(AND(A95&gt;0,A95&lt;=(Drivers!C19+Drivers!C20)),Drivers!C18*(1+Drivers!C23)^(A95/12),0)</f>
        <v>0</v>
      </c>
      <c r="J95" s="14">
        <f t="shared" si="1"/>
        <v>0</v>
      </c>
      <c r="K95" s="12">
        <f>IF(A95&gt;(Drivers!C19+Drivers!C20),MIN(1,0.5+0.5*(A95-(Drivers!C19+Drivers!C20))/Drivers!C39),0)</f>
        <v>1</v>
      </c>
      <c r="L95" s="14">
        <f>Drivers!C2*(B95-B94)*Drivers!C24*(1+Drivers!C22)^(A95/12)*Drivers!C25*K95</f>
        <v>680589.2545</v>
      </c>
      <c r="M95" s="14">
        <f>L95*Drivers!C26</f>
        <v>136117.8509</v>
      </c>
      <c r="N95" s="14">
        <f>(L95+M95)*Drivers!C27</f>
        <v>285847.4869</v>
      </c>
      <c r="O95" s="14">
        <f>IF(A95&gt;(Drivers!C19+Drivers!C20),Drivers!C28/12*(1+Drivers!C23)^(A95/12),0)</f>
        <v>451738.5202</v>
      </c>
      <c r="P95" s="14">
        <f>(L95+M95)*Drivers!C29</f>
        <v>32668.28422</v>
      </c>
      <c r="Q95" s="14">
        <f>Drivers!C3*Drivers!C30*(1+Drivers!C22)^(A95/12)*Drivers!C31*(1-Drivers!C32 )*K95</f>
        <v>51836.99519</v>
      </c>
      <c r="R95" s="14">
        <f>IF(A95&gt;(Drivers!C19+Drivers!C20),Drivers!C33/12*(1+Drivers!C23)^(A95/12),0)</f>
        <v>67760.77803</v>
      </c>
      <c r="S95" s="14">
        <f t="shared" si="2"/>
        <v>30529.03128</v>
      </c>
      <c r="T95" s="14">
        <f t="shared" si="6"/>
        <v>1062187.413</v>
      </c>
      <c r="U95" s="14">
        <f>IF(AND(A95&gt;Drivers!C19,A95&lt;=(Drivers!C19+Drivers!C20)),Summary!C31*D95,0)</f>
        <v>0</v>
      </c>
      <c r="V95" s="14">
        <f>IF(A95&lt;=(Drivers!C19+Drivers!C20),(T95+U95/2)*Drivers!C36/12,T95*Drivers!C36/12)</f>
        <v>10179.29604</v>
      </c>
      <c r="W95" s="14">
        <f>IF(A95&gt;(Drivers!C19+Drivers!C20),MIN(T95,MAX(0,Summary!C32/12-V95)),0)</f>
        <v>4145.891081</v>
      </c>
      <c r="X95" s="14">
        <f>IF(A95=(Drivers!C19+1),Summary!C31*Drivers!C38,0)</f>
        <v>0</v>
      </c>
      <c r="Y95" s="14">
        <f t="shared" si="3"/>
        <v>1058041.522</v>
      </c>
      <c r="Z95" s="14">
        <f t="shared" si="4"/>
        <v>16203.84416</v>
      </c>
      <c r="AA95" s="14">
        <f t="shared" si="7"/>
        <v>-109596443.6</v>
      </c>
      <c r="AB95" s="14">
        <f t="shared" si="5"/>
        <v>30529.03128</v>
      </c>
      <c r="AC95" s="14">
        <f>(E95+F95+G95+H95)*Drivers!C45</f>
        <v>0</v>
      </c>
      <c r="AD95" s="14">
        <f>IF(A95&lt;=Summary!C18,AB95+IF(A95=Summary!C18,Summary!C40,0),0)</f>
        <v>30529.03128</v>
      </c>
      <c r="AE95" s="14">
        <f>IF(A95&lt;=Summary!C18,Z95+IF(A95=Summary!C18,Summary!C40-Y95,0),0)</f>
        <v>16203.84416</v>
      </c>
      <c r="AF95" s="14">
        <f>AD95-IF(A95=0,Drivers!C44,0)</f>
        <v>30529.03128</v>
      </c>
      <c r="AG95" s="14">
        <f t="shared" si="8"/>
        <v>-109967971.2</v>
      </c>
    </row>
    <row r="96">
      <c r="A96" s="2">
        <v>94.0</v>
      </c>
      <c r="B96" s="15">
        <f>EDATE(Setup!B2,A96)</f>
        <v>49139</v>
      </c>
      <c r="C96" s="2" t="str">
        <f>IF(A96=0,"T0",IF(A96&lt;=Drivers!C19,"Preconstruction",IF(A96&lt;=(Drivers!C19+Drivers!C20),"Construction","Trading")))</f>
        <v>Trading</v>
      </c>
      <c r="D96" s="12">
        <f t="array" ref="D96">IF(AND(A96&gt;Drivers!C19,A96&lt;=(Drivers!C19+Drivers!C20)),SIN(PI()*(A96-Drivers!C19-0.5)/Drivers!C20)/SUMPRODUCT(SIN(PI()*(SEQUENCE(Drivers!C20,1)-0.5)/Drivers!C20)),0)</f>
        <v>0</v>
      </c>
      <c r="E96" s="14">
        <f>(Summary!C10+Summary!C12)*D96*(1+Drivers!C21)^(A96/12)</f>
        <v>0</v>
      </c>
      <c r="F96" s="14">
        <f>IF(AND(A96&gt;0,A96&lt;=Drivers!C19),Summary!C11*Drivers!C40/Drivers!C19*(1+Drivers!C21)^(A96/12),Summary!C11*(1-Drivers!C40 )*D96*(1+Drivers!C21)^(A96/12))</f>
        <v>0</v>
      </c>
      <c r="G96" s="14">
        <f>IF(AND(A96&gt;0,A96&lt;=2),Drivers!C16/2,0)</f>
        <v>0</v>
      </c>
      <c r="H96" s="14">
        <f>IF(A96=(Drivers!C19+Drivers!C20),Drivers!C17*(1+Drivers!C21)^(A96/12),0)</f>
        <v>0</v>
      </c>
      <c r="I96" s="14">
        <f>IF(AND(A96&gt;0,A96&lt;=(Drivers!C19+Drivers!C20)),Drivers!C18*(1+Drivers!C23)^(A96/12),0)</f>
        <v>0</v>
      </c>
      <c r="J96" s="14">
        <f t="shared" si="1"/>
        <v>0</v>
      </c>
      <c r="K96" s="12">
        <f>IF(A96&gt;(Drivers!C19+Drivers!C20),MIN(1,0.5+0.5*(A96-(Drivers!C19+Drivers!C20))/Drivers!C39),0)</f>
        <v>1</v>
      </c>
      <c r="L96" s="14">
        <f>Drivers!C2*(B96-B95)*Drivers!C24*(1+Drivers!C22)^(A96/12)*Drivers!C25*K96</f>
        <v>660790.9612</v>
      </c>
      <c r="M96" s="14">
        <f>L96*Drivers!C26</f>
        <v>132158.1922</v>
      </c>
      <c r="N96" s="14">
        <f>(L96+M96)*Drivers!C27</f>
        <v>277532.2037</v>
      </c>
      <c r="O96" s="14">
        <f>IF(A96&gt;(Drivers!C19+Drivers!C20),Drivers!C28/12*(1+Drivers!C23)^(A96/12),0)</f>
        <v>453217.3945</v>
      </c>
      <c r="P96" s="14">
        <f>(L96+M96)*Drivers!C29</f>
        <v>31717.96614</v>
      </c>
      <c r="Q96" s="14">
        <f>Drivers!C3*Drivers!C30*(1+Drivers!C22)^(A96/12)*Drivers!C31*(1-Drivers!C32 )*K96</f>
        <v>52006.69602</v>
      </c>
      <c r="R96" s="14">
        <f>IF(A96&gt;(Drivers!C19+Drivers!C20),Drivers!C33/12*(1+Drivers!C23)^(A96/12),0)</f>
        <v>67982.60918</v>
      </c>
      <c r="S96" s="14">
        <f t="shared" si="2"/>
        <v>14505.67593</v>
      </c>
      <c r="T96" s="14">
        <f t="shared" si="6"/>
        <v>1058041.522</v>
      </c>
      <c r="U96" s="14">
        <f>IF(AND(A96&gt;Drivers!C19,A96&lt;=(Drivers!C19+Drivers!C20)),Summary!C31*D96,0)</f>
        <v>0</v>
      </c>
      <c r="V96" s="14">
        <f>IF(A96&lt;=(Drivers!C19+Drivers!C20),(T96+U96/2)*Drivers!C36/12,T96*Drivers!C36/12)</f>
        <v>10139.56459</v>
      </c>
      <c r="W96" s="14">
        <f>IF(A96&gt;(Drivers!C19+Drivers!C20),MIN(T96,MAX(0,Summary!C32/12-V96)),0)</f>
        <v>4185.622537</v>
      </c>
      <c r="X96" s="14">
        <f>IF(A96=(Drivers!C19+1),Summary!C31*Drivers!C38,0)</f>
        <v>0</v>
      </c>
      <c r="Y96" s="14">
        <f t="shared" si="3"/>
        <v>1053855.899</v>
      </c>
      <c r="Z96" s="14">
        <f t="shared" si="4"/>
        <v>180.4888069</v>
      </c>
      <c r="AA96" s="14">
        <f t="shared" si="7"/>
        <v>-109596263.1</v>
      </c>
      <c r="AB96" s="14">
        <f t="shared" si="5"/>
        <v>14505.67593</v>
      </c>
      <c r="AC96" s="14">
        <f>(E96+F96+G96+H96)*Drivers!C45</f>
        <v>0</v>
      </c>
      <c r="AD96" s="14">
        <f>IF(A96&lt;=Summary!C18,AB96+IF(A96=Summary!C18,Summary!C40,0),0)</f>
        <v>14505.67593</v>
      </c>
      <c r="AE96" s="14">
        <f>IF(A96&lt;=Summary!C18,Z96+IF(A96=Summary!C18,Summary!C40-Y96,0),0)</f>
        <v>180.4888069</v>
      </c>
      <c r="AF96" s="14">
        <f>AD96-IF(A96=0,Drivers!C44,0)</f>
        <v>14505.67593</v>
      </c>
      <c r="AG96" s="14">
        <f t="shared" si="8"/>
        <v>-109953465.5</v>
      </c>
    </row>
    <row r="97">
      <c r="A97" s="2">
        <v>95.0</v>
      </c>
      <c r="B97" s="15">
        <f>EDATE(Setup!B2,A97)</f>
        <v>49170</v>
      </c>
      <c r="C97" s="2" t="str">
        <f>IF(A97=0,"T0",IF(A97&lt;=Drivers!C19,"Preconstruction",IF(A97&lt;=(Drivers!C19+Drivers!C20),"Construction","Trading")))</f>
        <v>Trading</v>
      </c>
      <c r="D97" s="12">
        <f t="array" ref="D97">IF(AND(A97&gt;Drivers!C19,A97&lt;=(Drivers!C19+Drivers!C20)),SIN(PI()*(A97-Drivers!C19-0.5)/Drivers!C20)/SUMPRODUCT(SIN(PI()*(SEQUENCE(Drivers!C20,1)-0.5)/Drivers!C20)),0)</f>
        <v>0</v>
      </c>
      <c r="E97" s="14">
        <f>(Summary!C10+Summary!C12)*D97*(1+Drivers!C21)^(A97/12)</f>
        <v>0</v>
      </c>
      <c r="F97" s="14">
        <f>IF(AND(A97&gt;0,A97&lt;=Drivers!C19),Summary!C11*Drivers!C40/Drivers!C19*(1+Drivers!C21)^(A97/12),Summary!C11*(1-Drivers!C40 )*D97*(1+Drivers!C21)^(A97/12))</f>
        <v>0</v>
      </c>
      <c r="G97" s="14">
        <f>IF(AND(A97&gt;0,A97&lt;=2),Drivers!C16/2,0)</f>
        <v>0</v>
      </c>
      <c r="H97" s="14">
        <f>IF(A97=(Drivers!C19+Drivers!C20),Drivers!C17*(1+Drivers!C21)^(A97/12),0)</f>
        <v>0</v>
      </c>
      <c r="I97" s="14">
        <f>IF(AND(A97&gt;0,A97&lt;=(Drivers!C19+Drivers!C20)),Drivers!C18*(1+Drivers!C23)^(A97/12),0)</f>
        <v>0</v>
      </c>
      <c r="J97" s="14">
        <f t="shared" si="1"/>
        <v>0</v>
      </c>
      <c r="K97" s="12">
        <f>IF(A97&gt;(Drivers!C19+Drivers!C20),MIN(1,0.5+0.5*(A97-(Drivers!C19+Drivers!C20))/Drivers!C39),0)</f>
        <v>1</v>
      </c>
      <c r="L97" s="14">
        <f>Drivers!C2*(B97-B96)*Drivers!C24*(1+Drivers!C22)^(A97/12)*Drivers!C25*K97</f>
        <v>685052.6929</v>
      </c>
      <c r="M97" s="14">
        <f>L97*Drivers!C26</f>
        <v>137010.5386</v>
      </c>
      <c r="N97" s="14">
        <f>(L97+M97)*Drivers!C27</f>
        <v>287722.131</v>
      </c>
      <c r="O97" s="14">
        <f>IF(A97&gt;(Drivers!C19+Drivers!C20),Drivers!C28/12*(1+Drivers!C23)^(A97/12),0)</f>
        <v>454701.1104</v>
      </c>
      <c r="P97" s="14">
        <f>(L97+M97)*Drivers!C29</f>
        <v>32882.52926</v>
      </c>
      <c r="Q97" s="14">
        <f>Drivers!C3*Drivers!C30*(1+Drivers!C22)^(A97/12)*Drivers!C31*(1-Drivers!C32 )*K97</f>
        <v>52176.95241</v>
      </c>
      <c r="R97" s="14">
        <f>IF(A97&gt;(Drivers!C19+Drivers!C20),Drivers!C33/12*(1+Drivers!C23)^(A97/12),0)</f>
        <v>68205.16655</v>
      </c>
      <c r="S97" s="14">
        <f t="shared" si="2"/>
        <v>30729.24668</v>
      </c>
      <c r="T97" s="14">
        <f t="shared" si="6"/>
        <v>1053855.899</v>
      </c>
      <c r="U97" s="14">
        <f>IF(AND(A97&gt;Drivers!C19,A97&lt;=(Drivers!C19+Drivers!C20)),Summary!C31*D97,0)</f>
        <v>0</v>
      </c>
      <c r="V97" s="14">
        <f>IF(A97&lt;=(Drivers!C19+Drivers!C20),(T97+U97/2)*Drivers!C36/12,T97*Drivers!C36/12)</f>
        <v>10099.45237</v>
      </c>
      <c r="W97" s="14">
        <f>IF(A97&gt;(Drivers!C19+Drivers!C20),MIN(T97,MAX(0,Summary!C32/12-V97)),0)</f>
        <v>4225.734753</v>
      </c>
      <c r="X97" s="14">
        <f>IF(A97=(Drivers!C19+1),Summary!C31*Drivers!C38,0)</f>
        <v>0</v>
      </c>
      <c r="Y97" s="14">
        <f t="shared" si="3"/>
        <v>1049630.165</v>
      </c>
      <c r="Z97" s="14">
        <f t="shared" si="4"/>
        <v>16404.05956</v>
      </c>
      <c r="AA97" s="14">
        <f t="shared" si="7"/>
        <v>-109579859</v>
      </c>
      <c r="AB97" s="14">
        <f t="shared" si="5"/>
        <v>30729.24668</v>
      </c>
      <c r="AC97" s="14">
        <f>(E97+F97+G97+H97)*Drivers!C45</f>
        <v>0</v>
      </c>
      <c r="AD97" s="14">
        <f>IF(A97&lt;=Summary!C18,AB97+IF(A97=Summary!C18,Summary!C40,0),0)</f>
        <v>30729.24668</v>
      </c>
      <c r="AE97" s="14">
        <f>IF(A97&lt;=Summary!C18,Z97+IF(A97=Summary!C18,Summary!C40-Y97,0),0)</f>
        <v>16404.05956</v>
      </c>
      <c r="AF97" s="14">
        <f>AD97-IF(A97=0,Drivers!C44,0)</f>
        <v>30729.24668</v>
      </c>
      <c r="AG97" s="14">
        <f t="shared" si="8"/>
        <v>-109922736.3</v>
      </c>
    </row>
    <row r="98">
      <c r="A98" s="2">
        <v>96.0</v>
      </c>
      <c r="B98" s="15">
        <f>EDATE(Setup!B2,A98)</f>
        <v>49201</v>
      </c>
      <c r="C98" s="2" t="str">
        <f>IF(A98=0,"T0",IF(A98&lt;=Drivers!C19,"Preconstruction",IF(A98&lt;=(Drivers!C19+Drivers!C20),"Construction","Trading")))</f>
        <v>Trading</v>
      </c>
      <c r="D98" s="12">
        <f t="array" ref="D98">IF(AND(A98&gt;Drivers!C19,A98&lt;=(Drivers!C19+Drivers!C20)),SIN(PI()*(A98-Drivers!C19-0.5)/Drivers!C20)/SUMPRODUCT(SIN(PI()*(SEQUENCE(Drivers!C20,1)-0.5)/Drivers!C20)),0)</f>
        <v>0</v>
      </c>
      <c r="E98" s="14">
        <f>(Summary!C10+Summary!C12)*D98*(1+Drivers!C21)^(A98/12)</f>
        <v>0</v>
      </c>
      <c r="F98" s="14">
        <f>IF(AND(A98&gt;0,A98&lt;=Drivers!C19),Summary!C11*Drivers!C40/Drivers!C19*(1+Drivers!C21)^(A98/12),Summary!C11*(1-Drivers!C40 )*D98*(1+Drivers!C21)^(A98/12))</f>
        <v>0</v>
      </c>
      <c r="G98" s="14">
        <f>IF(AND(A98&gt;0,A98&lt;=2),Drivers!C16/2,0)</f>
        <v>0</v>
      </c>
      <c r="H98" s="14">
        <f>IF(A98=(Drivers!C19+Drivers!C20),Drivers!C17*(1+Drivers!C21)^(A98/12),0)</f>
        <v>0</v>
      </c>
      <c r="I98" s="14">
        <f>IF(AND(A98&gt;0,A98&lt;=(Drivers!C19+Drivers!C20)),Drivers!C18*(1+Drivers!C23)^(A98/12),0)</f>
        <v>0</v>
      </c>
      <c r="J98" s="14">
        <f t="shared" si="1"/>
        <v>0</v>
      </c>
      <c r="K98" s="12">
        <f>IF(A98&gt;(Drivers!C19+Drivers!C20),MIN(1,0.5+0.5*(A98-(Drivers!C19+Drivers!C20))/Drivers!C39),0)</f>
        <v>1</v>
      </c>
      <c r="L98" s="14">
        <f>Drivers!C2*(B98-B97)*Drivers!C24*(1+Drivers!C22)^(A98/12)*Drivers!C25*K98</f>
        <v>687295.3771</v>
      </c>
      <c r="M98" s="14">
        <f>L98*Drivers!C26</f>
        <v>137459.0754</v>
      </c>
      <c r="N98" s="14">
        <f>(L98+M98)*Drivers!C27</f>
        <v>288664.0584</v>
      </c>
      <c r="O98" s="14">
        <f>IF(A98&gt;(Drivers!C19+Drivers!C20),Drivers!C28/12*(1+Drivers!C23)^(A98/12),0)</f>
        <v>456189.6835</v>
      </c>
      <c r="P98" s="14">
        <f>(L98+M98)*Drivers!C29</f>
        <v>32990.1781</v>
      </c>
      <c r="Q98" s="14">
        <f>Drivers!C3*Drivers!C30*(1+Drivers!C22)^(A98/12)*Drivers!C31*(1-Drivers!C32 )*K98</f>
        <v>52347.76618</v>
      </c>
      <c r="R98" s="14">
        <f>IF(A98&gt;(Drivers!C19+Drivers!C20),Drivers!C33/12*(1+Drivers!C23)^(A98/12),0)</f>
        <v>68428.45252</v>
      </c>
      <c r="S98" s="14">
        <f t="shared" si="2"/>
        <v>30829.84624</v>
      </c>
      <c r="T98" s="14">
        <f t="shared" si="6"/>
        <v>1049630.165</v>
      </c>
      <c r="U98" s="14">
        <f>IF(AND(A98&gt;Drivers!C19,A98&lt;=(Drivers!C19+Drivers!C20)),Summary!C31*D98,0)</f>
        <v>0</v>
      </c>
      <c r="V98" s="14">
        <f>IF(A98&lt;=(Drivers!C19+Drivers!C20),(T98+U98/2)*Drivers!C36/12,T98*Drivers!C36/12)</f>
        <v>10058.95575</v>
      </c>
      <c r="W98" s="14">
        <f>IF(A98&gt;(Drivers!C19+Drivers!C20),MIN(T98,MAX(0,Summary!C32/12-V98)),0)</f>
        <v>4266.231378</v>
      </c>
      <c r="X98" s="14">
        <f>IF(A98=(Drivers!C19+1),Summary!C31*Drivers!C38,0)</f>
        <v>0</v>
      </c>
      <c r="Y98" s="14">
        <f t="shared" si="3"/>
        <v>1045363.933</v>
      </c>
      <c r="Z98" s="14">
        <f t="shared" si="4"/>
        <v>16504.65911</v>
      </c>
      <c r="AA98" s="14">
        <f t="shared" si="7"/>
        <v>-109563354.4</v>
      </c>
      <c r="AB98" s="14">
        <f t="shared" si="5"/>
        <v>30829.84624</v>
      </c>
      <c r="AC98" s="14">
        <f>(E98+F98+G98+H98)*Drivers!C45</f>
        <v>0</v>
      </c>
      <c r="AD98" s="14">
        <f>IF(A98&lt;=Summary!C18,AB98+IF(A98=Summary!C18,Summary!C40,0),0)</f>
        <v>30829.84624</v>
      </c>
      <c r="AE98" s="14">
        <f>IF(A98&lt;=Summary!C18,Z98+IF(A98=Summary!C18,Summary!C40-Y98,0),0)</f>
        <v>16504.65911</v>
      </c>
      <c r="AF98" s="14">
        <f>AD98-IF(A98=0,Drivers!C44,0)</f>
        <v>30829.84624</v>
      </c>
      <c r="AG98" s="14">
        <f t="shared" si="8"/>
        <v>-109891906.4</v>
      </c>
    </row>
    <row r="99">
      <c r="A99" s="2">
        <v>97.0</v>
      </c>
      <c r="B99" s="15">
        <f>EDATE(Setup!B2,A99)</f>
        <v>49231</v>
      </c>
      <c r="C99" s="2" t="str">
        <f>IF(A99=0,"T0",IF(A99&lt;=Drivers!C19,"Preconstruction",IF(A99&lt;=(Drivers!C19+Drivers!C20),"Construction","Trading")))</f>
        <v>Trading</v>
      </c>
      <c r="D99" s="12">
        <f t="array" ref="D99">IF(AND(A99&gt;Drivers!C19,A99&lt;=(Drivers!C19+Drivers!C20)),SIN(PI()*(A99-Drivers!C19-0.5)/Drivers!C20)/SUMPRODUCT(SIN(PI()*(SEQUENCE(Drivers!C20,1)-0.5)/Drivers!C20)),0)</f>
        <v>0</v>
      </c>
      <c r="E99" s="14">
        <f>(Summary!C10+Summary!C12)*D99*(1+Drivers!C21)^(A99/12)</f>
        <v>0</v>
      </c>
      <c r="F99" s="14">
        <f>IF(AND(A99&gt;0,A99&lt;=Drivers!C19),Summary!C11*Drivers!C40/Drivers!C19*(1+Drivers!C21)^(A99/12),Summary!C11*(1-Drivers!C40 )*D99*(1+Drivers!C21)^(A99/12))</f>
        <v>0</v>
      </c>
      <c r="G99" s="14">
        <f>IF(AND(A99&gt;0,A99&lt;=2),Drivers!C16/2,0)</f>
        <v>0</v>
      </c>
      <c r="H99" s="14">
        <f>IF(A99=(Drivers!C19+Drivers!C20),Drivers!C17*(1+Drivers!C21)^(A99/12),0)</f>
        <v>0</v>
      </c>
      <c r="I99" s="14">
        <f>IF(AND(A99&gt;0,A99&lt;=(Drivers!C19+Drivers!C20)),Drivers!C18*(1+Drivers!C23)^(A99/12),0)</f>
        <v>0</v>
      </c>
      <c r="J99" s="14">
        <f t="shared" si="1"/>
        <v>0</v>
      </c>
      <c r="K99" s="12">
        <f>IF(A99&gt;(Drivers!C19+Drivers!C20),MIN(1,0.5+0.5*(A99-(Drivers!C19+Drivers!C20))/Drivers!C39),0)</f>
        <v>1</v>
      </c>
      <c r="L99" s="14">
        <f>Drivers!C2*(B99-B98)*Drivers!C24*(1+Drivers!C22)^(A99/12)*Drivers!C25*K99</f>
        <v>667302.0032</v>
      </c>
      <c r="M99" s="14">
        <f>L99*Drivers!C26</f>
        <v>133460.4006</v>
      </c>
      <c r="N99" s="14">
        <f>(L99+M99)*Drivers!C27</f>
        <v>280266.8414</v>
      </c>
      <c r="O99" s="14">
        <f>IF(A99&gt;(Drivers!C19+Drivers!C20),Drivers!C28/12*(1+Drivers!C23)^(A99/12),0)</f>
        <v>457683.1298</v>
      </c>
      <c r="P99" s="14">
        <f>(L99+M99)*Drivers!C29</f>
        <v>32030.49615</v>
      </c>
      <c r="Q99" s="14">
        <f>Drivers!C3*Drivers!C30*(1+Drivers!C22)^(A99/12)*Drivers!C31*(1-Drivers!C32 )*K99</f>
        <v>52519.13914</v>
      </c>
      <c r="R99" s="14">
        <f>IF(A99&gt;(Drivers!C19+Drivers!C20),Drivers!C33/12*(1+Drivers!C23)^(A99/12),0)</f>
        <v>68652.46947</v>
      </c>
      <c r="S99" s="14">
        <f t="shared" si="2"/>
        <v>14648.60625</v>
      </c>
      <c r="T99" s="14">
        <f t="shared" si="6"/>
        <v>1045363.933</v>
      </c>
      <c r="U99" s="14">
        <f>IF(AND(A99&gt;Drivers!C19,A99&lt;=(Drivers!C19+Drivers!C20)),Summary!C31*D99,0)</f>
        <v>0</v>
      </c>
      <c r="V99" s="14">
        <f>IF(A99&lt;=(Drivers!C19+Drivers!C20),(T99+U99/2)*Drivers!C36/12,T99*Drivers!C36/12)</f>
        <v>10018.07103</v>
      </c>
      <c r="W99" s="14">
        <f>IF(A99&gt;(Drivers!C19+Drivers!C20),MIN(T99,MAX(0,Summary!C32/12-V99)),0)</f>
        <v>4307.116095</v>
      </c>
      <c r="X99" s="14">
        <f>IF(A99=(Drivers!C19+1),Summary!C31*Drivers!C38,0)</f>
        <v>0</v>
      </c>
      <c r="Y99" s="14">
        <f t="shared" si="3"/>
        <v>1041056.817</v>
      </c>
      <c r="Z99" s="14">
        <f t="shared" si="4"/>
        <v>323.4191291</v>
      </c>
      <c r="AA99" s="14">
        <f t="shared" si="7"/>
        <v>-109563031</v>
      </c>
      <c r="AB99" s="14">
        <f t="shared" si="5"/>
        <v>14648.60625</v>
      </c>
      <c r="AC99" s="14">
        <f>(E99+F99+G99+H99)*Drivers!C45</f>
        <v>0</v>
      </c>
      <c r="AD99" s="14">
        <f>IF(A99&lt;=Summary!C18,AB99+IF(A99=Summary!C18,Summary!C40,0),0)</f>
        <v>14648.60625</v>
      </c>
      <c r="AE99" s="14">
        <f>IF(A99&lt;=Summary!C18,Z99+IF(A99=Summary!C18,Summary!C40-Y99,0),0)</f>
        <v>323.4191291</v>
      </c>
      <c r="AF99" s="14">
        <f>AD99-IF(A99=0,Drivers!C44,0)</f>
        <v>14648.60625</v>
      </c>
      <c r="AG99" s="14">
        <f t="shared" si="8"/>
        <v>-109877257.8</v>
      </c>
    </row>
    <row r="100">
      <c r="A100" s="2">
        <v>98.0</v>
      </c>
      <c r="B100" s="15">
        <f>EDATE(Setup!B2,A100)</f>
        <v>49262</v>
      </c>
      <c r="C100" s="2" t="str">
        <f>IF(A100=0,"T0",IF(A100&lt;=Drivers!C19,"Preconstruction",IF(A100&lt;=(Drivers!C19+Drivers!C20),"Construction","Trading")))</f>
        <v>Trading</v>
      </c>
      <c r="D100" s="12">
        <f t="array" ref="D100">IF(AND(A100&gt;Drivers!C19,A100&lt;=(Drivers!C19+Drivers!C20)),SIN(PI()*(A100-Drivers!C19-0.5)/Drivers!C20)/SUMPRODUCT(SIN(PI()*(SEQUENCE(Drivers!C20,1)-0.5)/Drivers!C20)),0)</f>
        <v>0</v>
      </c>
      <c r="E100" s="14">
        <f>(Summary!C10+Summary!C12)*D100*(1+Drivers!C21)^(A100/12)</f>
        <v>0</v>
      </c>
      <c r="F100" s="14">
        <f>IF(AND(A100&gt;0,A100&lt;=Drivers!C19),Summary!C11*Drivers!C40/Drivers!C19*(1+Drivers!C21)^(A100/12),Summary!C11*(1-Drivers!C40 )*D100*(1+Drivers!C21)^(A100/12))</f>
        <v>0</v>
      </c>
      <c r="G100" s="14">
        <f>IF(AND(A100&gt;0,A100&lt;=2),Drivers!C16/2,0)</f>
        <v>0</v>
      </c>
      <c r="H100" s="14">
        <f>IF(A100=(Drivers!C19+Drivers!C20),Drivers!C17*(1+Drivers!C21)^(A100/12),0)</f>
        <v>0</v>
      </c>
      <c r="I100" s="14">
        <f>IF(AND(A100&gt;0,A100&lt;=(Drivers!C19+Drivers!C20)),Drivers!C18*(1+Drivers!C23)^(A100/12),0)</f>
        <v>0</v>
      </c>
      <c r="J100" s="14">
        <f t="shared" si="1"/>
        <v>0</v>
      </c>
      <c r="K100" s="12">
        <f>IF(A100&gt;(Drivers!C19+Drivers!C20),MIN(1,0.5+0.5*(A100-(Drivers!C19+Drivers!C20))/Drivers!C39),0)</f>
        <v>1</v>
      </c>
      <c r="L100" s="14">
        <f>Drivers!C2*(B100-B99)*Drivers!C24*(1+Drivers!C22)^(A100/12)*Drivers!C25*K100</f>
        <v>691802.7956</v>
      </c>
      <c r="M100" s="14">
        <f>L100*Drivers!C26</f>
        <v>138360.5591</v>
      </c>
      <c r="N100" s="14">
        <f>(L100+M100)*Drivers!C27</f>
        <v>290557.1741</v>
      </c>
      <c r="O100" s="14">
        <f>IF(A100&gt;(Drivers!C19+Drivers!C20),Drivers!C28/12*(1+Drivers!C23)^(A100/12),0)</f>
        <v>459181.4653</v>
      </c>
      <c r="P100" s="14">
        <f>(L100+M100)*Drivers!C29</f>
        <v>33206.53419</v>
      </c>
      <c r="Q100" s="14">
        <f>Drivers!C3*Drivers!C30*(1+Drivers!C22)^(A100/12)*Drivers!C31*(1-Drivers!C32 )*K100</f>
        <v>52691.07314</v>
      </c>
      <c r="R100" s="14">
        <f>IF(A100&gt;(Drivers!C19+Drivers!C20),Drivers!C33/12*(1+Drivers!C23)^(A100/12),0)</f>
        <v>68877.21979</v>
      </c>
      <c r="S100" s="14">
        <f t="shared" si="2"/>
        <v>31032.03444</v>
      </c>
      <c r="T100" s="14">
        <f t="shared" si="6"/>
        <v>1041056.817</v>
      </c>
      <c r="U100" s="14">
        <f>IF(AND(A100&gt;Drivers!C19,A100&lt;=(Drivers!C19+Drivers!C20)),Summary!C31*D100,0)</f>
        <v>0</v>
      </c>
      <c r="V100" s="14">
        <f>IF(A100&lt;=(Drivers!C19+Drivers!C20),(T100+U100/2)*Drivers!C36/12,T100*Drivers!C36/12)</f>
        <v>9976.794499</v>
      </c>
      <c r="W100" s="14">
        <f>IF(A100&gt;(Drivers!C19+Drivers!C20),MIN(T100,MAX(0,Summary!C32/12-V100)),0)</f>
        <v>4348.392624</v>
      </c>
      <c r="X100" s="14">
        <f>IF(A100=(Drivers!C19+1),Summary!C31*Drivers!C38,0)</f>
        <v>0</v>
      </c>
      <c r="Y100" s="14">
        <f t="shared" si="3"/>
        <v>1036708.425</v>
      </c>
      <c r="Z100" s="14">
        <f t="shared" si="4"/>
        <v>16706.84732</v>
      </c>
      <c r="AA100" s="14">
        <f t="shared" si="7"/>
        <v>-109546324.1</v>
      </c>
      <c r="AB100" s="14">
        <f t="shared" si="5"/>
        <v>31032.03444</v>
      </c>
      <c r="AC100" s="14">
        <f>(E100+F100+G100+H100)*Drivers!C45</f>
        <v>0</v>
      </c>
      <c r="AD100" s="14">
        <f>IF(A100&lt;=Summary!C18,AB100+IF(A100=Summary!C18,Summary!C40,0),0)</f>
        <v>31032.03444</v>
      </c>
      <c r="AE100" s="14">
        <f>IF(A100&lt;=Summary!C18,Z100+IF(A100=Summary!C18,Summary!C40-Y100,0),0)</f>
        <v>16706.84732</v>
      </c>
      <c r="AF100" s="14">
        <f>AD100-IF(A100=0,Drivers!C44,0)</f>
        <v>31032.03444</v>
      </c>
      <c r="AG100" s="14">
        <f t="shared" si="8"/>
        <v>-109846225.8</v>
      </c>
    </row>
    <row r="101">
      <c r="A101" s="2">
        <v>99.0</v>
      </c>
      <c r="B101" s="15">
        <f>EDATE(Setup!B2,A101)</f>
        <v>49292</v>
      </c>
      <c r="C101" s="2" t="str">
        <f>IF(A101=0,"T0",IF(A101&lt;=Drivers!C19,"Preconstruction",IF(A101&lt;=(Drivers!C19+Drivers!C20),"Construction","Trading")))</f>
        <v>Trading</v>
      </c>
      <c r="D101" s="12">
        <f t="array" ref="D101">IF(AND(A101&gt;Drivers!C19,A101&lt;=(Drivers!C19+Drivers!C20)),SIN(PI()*(A101-Drivers!C19-0.5)/Drivers!C20)/SUMPRODUCT(SIN(PI()*(SEQUENCE(Drivers!C20,1)-0.5)/Drivers!C20)),0)</f>
        <v>0</v>
      </c>
      <c r="E101" s="14">
        <f>(Summary!C10+Summary!C12)*D101*(1+Drivers!C21)^(A101/12)</f>
        <v>0</v>
      </c>
      <c r="F101" s="14">
        <f>IF(AND(A101&gt;0,A101&lt;=Drivers!C19),Summary!C11*Drivers!C40/Drivers!C19*(1+Drivers!C21)^(A101/12),Summary!C11*(1-Drivers!C40 )*D101*(1+Drivers!C21)^(A101/12))</f>
        <v>0</v>
      </c>
      <c r="G101" s="14">
        <f>IF(AND(A101&gt;0,A101&lt;=2),Drivers!C16/2,0)</f>
        <v>0</v>
      </c>
      <c r="H101" s="14">
        <f>IF(A101=(Drivers!C19+Drivers!C20),Drivers!C17*(1+Drivers!C21)^(A101/12),0)</f>
        <v>0</v>
      </c>
      <c r="I101" s="14">
        <f>IF(AND(A101&gt;0,A101&lt;=(Drivers!C19+Drivers!C20)),Drivers!C18*(1+Drivers!C23)^(A101/12),0)</f>
        <v>0</v>
      </c>
      <c r="J101" s="14">
        <f t="shared" si="1"/>
        <v>0</v>
      </c>
      <c r="K101" s="12">
        <f>IF(A101&gt;(Drivers!C19+Drivers!C20),MIN(1,0.5+0.5*(A101-(Drivers!C19+Drivers!C20))/Drivers!C39),0)</f>
        <v>1</v>
      </c>
      <c r="L101" s="14">
        <f>Drivers!C2*(B101-B100)*Drivers!C24*(1+Drivers!C22)^(A101/12)*Drivers!C25*K101</f>
        <v>671678.3012</v>
      </c>
      <c r="M101" s="14">
        <f>L101*Drivers!C26</f>
        <v>134335.6602</v>
      </c>
      <c r="N101" s="14">
        <f>(L101+M101)*Drivers!C27</f>
        <v>282104.8865</v>
      </c>
      <c r="O101" s="14">
        <f>IF(A101&gt;(Drivers!C19+Drivers!C20),Drivers!C28/12*(1+Drivers!C23)^(A101/12),0)</f>
        <v>460684.7059</v>
      </c>
      <c r="P101" s="14">
        <f>(L101+M101)*Drivers!C29</f>
        <v>32240.55846</v>
      </c>
      <c r="Q101" s="14">
        <f>Drivers!C3*Drivers!C30*(1+Drivers!C22)^(A101/12)*Drivers!C31*(1-Drivers!C32 )*K101</f>
        <v>52863.57</v>
      </c>
      <c r="R101" s="14">
        <f>IF(A101&gt;(Drivers!C19+Drivers!C20),Drivers!C33/12*(1+Drivers!C23)^(A101/12),0)</f>
        <v>69102.70588</v>
      </c>
      <c r="S101" s="14">
        <f t="shared" si="2"/>
        <v>14744.6747</v>
      </c>
      <c r="T101" s="14">
        <f t="shared" si="6"/>
        <v>1036708.425</v>
      </c>
      <c r="U101" s="14">
        <f>IF(AND(A101&gt;Drivers!C19,A101&lt;=(Drivers!C19+Drivers!C20)),Summary!C31*D101,0)</f>
        <v>0</v>
      </c>
      <c r="V101" s="14">
        <f>IF(A101&lt;=(Drivers!C19+Drivers!C20),(T101+U101/2)*Drivers!C36/12,T101*Drivers!C36/12)</f>
        <v>9935.122403</v>
      </c>
      <c r="W101" s="14">
        <f>IF(A101&gt;(Drivers!C19+Drivers!C20),MIN(T101,MAX(0,Summary!C32/12-V101)),0)</f>
        <v>4390.06472</v>
      </c>
      <c r="X101" s="14">
        <f>IF(A101=(Drivers!C19+1),Summary!C31*Drivers!C38,0)</f>
        <v>0</v>
      </c>
      <c r="Y101" s="14">
        <f t="shared" si="3"/>
        <v>1032318.36</v>
      </c>
      <c r="Z101" s="14">
        <f t="shared" si="4"/>
        <v>419.4875737</v>
      </c>
      <c r="AA101" s="14">
        <f t="shared" si="7"/>
        <v>-109545904.6</v>
      </c>
      <c r="AB101" s="14">
        <f t="shared" si="5"/>
        <v>14744.6747</v>
      </c>
      <c r="AC101" s="14">
        <f>(E101+F101+G101+H101)*Drivers!C45</f>
        <v>0</v>
      </c>
      <c r="AD101" s="14">
        <f>IF(A101&lt;=Summary!C18,AB101+IF(A101=Summary!C18,Summary!C40,0),0)</f>
        <v>14744.6747</v>
      </c>
      <c r="AE101" s="14">
        <f>IF(A101&lt;=Summary!C18,Z101+IF(A101=Summary!C18,Summary!C40-Y101,0),0)</f>
        <v>419.4875737</v>
      </c>
      <c r="AF101" s="14">
        <f>AD101-IF(A101=0,Drivers!C44,0)</f>
        <v>14744.6747</v>
      </c>
      <c r="AG101" s="14">
        <f t="shared" si="8"/>
        <v>-109831481.1</v>
      </c>
    </row>
    <row r="102">
      <c r="A102" s="2">
        <v>100.0</v>
      </c>
      <c r="B102" s="15">
        <f>EDATE(Setup!B2,A102)</f>
        <v>49323</v>
      </c>
      <c r="C102" s="2" t="str">
        <f>IF(A102=0,"T0",IF(A102&lt;=Drivers!C19,"Preconstruction",IF(A102&lt;=(Drivers!C19+Drivers!C20),"Construction","Trading")))</f>
        <v>Trading</v>
      </c>
      <c r="D102" s="12">
        <f t="array" ref="D102">IF(AND(A102&gt;Drivers!C19,A102&lt;=(Drivers!C19+Drivers!C20)),SIN(PI()*(A102-Drivers!C19-0.5)/Drivers!C20)/SUMPRODUCT(SIN(PI()*(SEQUENCE(Drivers!C20,1)-0.5)/Drivers!C20)),0)</f>
        <v>0</v>
      </c>
      <c r="E102" s="14">
        <f>(Summary!C10+Summary!C12)*D102*(1+Drivers!C21)^(A102/12)</f>
        <v>0</v>
      </c>
      <c r="F102" s="14">
        <f>IF(AND(A102&gt;0,A102&lt;=Drivers!C19),Summary!C11*Drivers!C40/Drivers!C19*(1+Drivers!C21)^(A102/12),Summary!C11*(1-Drivers!C40 )*D102*(1+Drivers!C21)^(A102/12))</f>
        <v>0</v>
      </c>
      <c r="G102" s="14">
        <f>IF(AND(A102&gt;0,A102&lt;=2),Drivers!C16/2,0)</f>
        <v>0</v>
      </c>
      <c r="H102" s="14">
        <f>IF(A102=(Drivers!C19+Drivers!C20),Drivers!C17*(1+Drivers!C21)^(A102/12),0)</f>
        <v>0</v>
      </c>
      <c r="I102" s="14">
        <f>IF(AND(A102&gt;0,A102&lt;=(Drivers!C19+Drivers!C20)),Drivers!C18*(1+Drivers!C23)^(A102/12),0)</f>
        <v>0</v>
      </c>
      <c r="J102" s="14">
        <f t="shared" si="1"/>
        <v>0</v>
      </c>
      <c r="K102" s="12">
        <f>IF(A102&gt;(Drivers!C19+Drivers!C20),MIN(1,0.5+0.5*(A102-(Drivers!C19+Drivers!C20))/Drivers!C39),0)</f>
        <v>1</v>
      </c>
      <c r="L102" s="14">
        <f>Drivers!C2*(B102-B101)*Drivers!C24*(1+Drivers!C22)^(A102/12)*Drivers!C25*K102</f>
        <v>696339.7745</v>
      </c>
      <c r="M102" s="14">
        <f>L102*Drivers!C26</f>
        <v>139267.9549</v>
      </c>
      <c r="N102" s="14">
        <f>(L102+M102)*Drivers!C27</f>
        <v>292462.7053</v>
      </c>
      <c r="O102" s="14">
        <f>IF(A102&gt;(Drivers!C19+Drivers!C20),Drivers!C28/12*(1+Drivers!C23)^(A102/12),0)</f>
        <v>462192.8677</v>
      </c>
      <c r="P102" s="14">
        <f>(L102+M102)*Drivers!C29</f>
        <v>33424.30918</v>
      </c>
      <c r="Q102" s="14">
        <f>Drivers!C3*Drivers!C30*(1+Drivers!C22)^(A102/12)*Drivers!C31*(1-Drivers!C32 )*K102</f>
        <v>53036.63157</v>
      </c>
      <c r="R102" s="14">
        <f>IF(A102&gt;(Drivers!C19+Drivers!C20),Drivers!C33/12*(1+Drivers!C23)^(A102/12),0)</f>
        <v>69328.93016</v>
      </c>
      <c r="S102" s="14">
        <f t="shared" si="2"/>
        <v>31235.54863</v>
      </c>
      <c r="T102" s="14">
        <f t="shared" si="6"/>
        <v>1032318.36</v>
      </c>
      <c r="U102" s="14">
        <f>IF(AND(A102&gt;Drivers!C19,A102&lt;=(Drivers!C19+Drivers!C20)),Summary!C31*D102,0)</f>
        <v>0</v>
      </c>
      <c r="V102" s="14">
        <f>IF(A102&lt;=(Drivers!C19+Drivers!C20),(T102+U102/2)*Drivers!C36/12,T102*Drivers!C36/12)</f>
        <v>9893.050949</v>
      </c>
      <c r="W102" s="14">
        <f>IF(A102&gt;(Drivers!C19+Drivers!C20),MIN(T102,MAX(0,Summary!C32/12-V102)),0)</f>
        <v>4432.136174</v>
      </c>
      <c r="X102" s="14">
        <f>IF(A102=(Drivers!C19+1),Summary!C31*Drivers!C38,0)</f>
        <v>0</v>
      </c>
      <c r="Y102" s="14">
        <f t="shared" si="3"/>
        <v>1027886.224</v>
      </c>
      <c r="Z102" s="14">
        <f t="shared" si="4"/>
        <v>16910.36151</v>
      </c>
      <c r="AA102" s="14">
        <f t="shared" si="7"/>
        <v>-109528994.3</v>
      </c>
      <c r="AB102" s="14">
        <f t="shared" si="5"/>
        <v>31235.54863</v>
      </c>
      <c r="AC102" s="14">
        <f>(E102+F102+G102+H102)*Drivers!C45</f>
        <v>0</v>
      </c>
      <c r="AD102" s="14">
        <f>IF(A102&lt;=Summary!C18,AB102+IF(A102=Summary!C18,Summary!C40,0),0)</f>
        <v>31235.54863</v>
      </c>
      <c r="AE102" s="14">
        <f>IF(A102&lt;=Summary!C18,Z102+IF(A102=Summary!C18,Summary!C40-Y102,0),0)</f>
        <v>16910.36151</v>
      </c>
      <c r="AF102" s="14">
        <f>AD102-IF(A102=0,Drivers!C44,0)</f>
        <v>31235.54863</v>
      </c>
      <c r="AG102" s="14">
        <f t="shared" si="8"/>
        <v>-109800245.6</v>
      </c>
    </row>
    <row r="103">
      <c r="A103" s="2">
        <v>101.0</v>
      </c>
      <c r="B103" s="15">
        <f>EDATE(Setup!B2,A103)</f>
        <v>49354</v>
      </c>
      <c r="C103" s="2" t="str">
        <f>IF(A103=0,"T0",IF(A103&lt;=Drivers!C19,"Preconstruction",IF(A103&lt;=(Drivers!C19+Drivers!C20),"Construction","Trading")))</f>
        <v>Trading</v>
      </c>
      <c r="D103" s="12">
        <f t="array" ref="D103">IF(AND(A103&gt;Drivers!C19,A103&lt;=(Drivers!C19+Drivers!C20)),SIN(PI()*(A103-Drivers!C19-0.5)/Drivers!C20)/SUMPRODUCT(SIN(PI()*(SEQUENCE(Drivers!C20,1)-0.5)/Drivers!C20)),0)</f>
        <v>0</v>
      </c>
      <c r="E103" s="14">
        <f>(Summary!C10+Summary!C12)*D103*(1+Drivers!C21)^(A103/12)</f>
        <v>0</v>
      </c>
      <c r="F103" s="14">
        <f>IF(AND(A103&gt;0,A103&lt;=Drivers!C19),Summary!C11*Drivers!C40/Drivers!C19*(1+Drivers!C21)^(A103/12),Summary!C11*(1-Drivers!C40 )*D103*(1+Drivers!C21)^(A103/12))</f>
        <v>0</v>
      </c>
      <c r="G103" s="14">
        <f>IF(AND(A103&gt;0,A103&lt;=2),Drivers!C16/2,0)</f>
        <v>0</v>
      </c>
      <c r="H103" s="14">
        <f>IF(A103=(Drivers!C19+Drivers!C20),Drivers!C17*(1+Drivers!C21)^(A103/12),0)</f>
        <v>0</v>
      </c>
      <c r="I103" s="14">
        <f>IF(AND(A103&gt;0,A103&lt;=(Drivers!C19+Drivers!C20)),Drivers!C18*(1+Drivers!C23)^(A103/12),0)</f>
        <v>0</v>
      </c>
      <c r="J103" s="14">
        <f t="shared" si="1"/>
        <v>0</v>
      </c>
      <c r="K103" s="12">
        <f>IF(A103&gt;(Drivers!C19+Drivers!C20),MIN(1,0.5+0.5*(A103-(Drivers!C19+Drivers!C20))/Drivers!C39),0)</f>
        <v>1</v>
      </c>
      <c r="L103" s="14">
        <f>Drivers!C2*(B103-B102)*Drivers!C24*(1+Drivers!C22)^(A103/12)*Drivers!C25*K103</f>
        <v>698619.4097</v>
      </c>
      <c r="M103" s="14">
        <f>L103*Drivers!C26</f>
        <v>139723.8819</v>
      </c>
      <c r="N103" s="14">
        <f>(L103+M103)*Drivers!C27</f>
        <v>293420.1521</v>
      </c>
      <c r="O103" s="14">
        <f>IF(A103&gt;(Drivers!C19+Drivers!C20),Drivers!C28/12*(1+Drivers!C23)^(A103/12),0)</f>
        <v>463705.9669</v>
      </c>
      <c r="P103" s="14">
        <f>(L103+M103)*Drivers!C29</f>
        <v>33533.73167</v>
      </c>
      <c r="Q103" s="14">
        <f>Drivers!C3*Drivers!C30*(1+Drivers!C22)^(A103/12)*Drivers!C31*(1-Drivers!C32 )*K103</f>
        <v>53210.2597</v>
      </c>
      <c r="R103" s="14">
        <f>IF(A103&gt;(Drivers!C19+Drivers!C20),Drivers!C33/12*(1+Drivers!C23)^(A103/12),0)</f>
        <v>69555.89504</v>
      </c>
      <c r="S103" s="14">
        <f t="shared" si="2"/>
        <v>31337.80569</v>
      </c>
      <c r="T103" s="14">
        <f t="shared" si="6"/>
        <v>1027886.224</v>
      </c>
      <c r="U103" s="14">
        <f>IF(AND(A103&gt;Drivers!C19,A103&lt;=(Drivers!C19+Drivers!C20)),Summary!C31*D103,0)</f>
        <v>0</v>
      </c>
      <c r="V103" s="14">
        <f>IF(A103&lt;=(Drivers!C19+Drivers!C20),(T103+U103/2)*Drivers!C36/12,T103*Drivers!C36/12)</f>
        <v>9850.576311</v>
      </c>
      <c r="W103" s="14">
        <f>IF(A103&gt;(Drivers!C19+Drivers!C20),MIN(T103,MAX(0,Summary!C32/12-V103)),0)</f>
        <v>4474.610812</v>
      </c>
      <c r="X103" s="14">
        <f>IF(A103=(Drivers!C19+1),Summary!C31*Drivers!C38,0)</f>
        <v>0</v>
      </c>
      <c r="Y103" s="14">
        <f t="shared" si="3"/>
        <v>1023411.613</v>
      </c>
      <c r="Z103" s="14">
        <f t="shared" si="4"/>
        <v>17012.61857</v>
      </c>
      <c r="AA103" s="14">
        <f t="shared" si="7"/>
        <v>-109511981.7</v>
      </c>
      <c r="AB103" s="14">
        <f t="shared" si="5"/>
        <v>31337.80569</v>
      </c>
      <c r="AC103" s="14">
        <f>(E103+F103+G103+H103)*Drivers!C45</f>
        <v>0</v>
      </c>
      <c r="AD103" s="14">
        <f>IF(A103&lt;=Summary!C18,AB103+IF(A103=Summary!C18,Summary!C40,0),0)</f>
        <v>31337.80569</v>
      </c>
      <c r="AE103" s="14">
        <f>IF(A103&lt;=Summary!C18,Z103+IF(A103=Summary!C18,Summary!C40-Y103,0),0)</f>
        <v>17012.61857</v>
      </c>
      <c r="AF103" s="14">
        <f>AD103-IF(A103=0,Drivers!C44,0)</f>
        <v>31337.80569</v>
      </c>
      <c r="AG103" s="14">
        <f t="shared" si="8"/>
        <v>-109768907.8</v>
      </c>
    </row>
    <row r="104">
      <c r="A104" s="2">
        <v>102.0</v>
      </c>
      <c r="B104" s="15">
        <f>EDATE(Setup!B2,A104)</f>
        <v>49382</v>
      </c>
      <c r="C104" s="2" t="str">
        <f>IF(A104=0,"T0",IF(A104&lt;=Drivers!C19,"Preconstruction",IF(A104&lt;=(Drivers!C19+Drivers!C20),"Construction","Trading")))</f>
        <v>Trading</v>
      </c>
      <c r="D104" s="12">
        <f t="array" ref="D104">IF(AND(A104&gt;Drivers!C19,A104&lt;=(Drivers!C19+Drivers!C20)),SIN(PI()*(A104-Drivers!C19-0.5)/Drivers!C20)/SUMPRODUCT(SIN(PI()*(SEQUENCE(Drivers!C20,1)-0.5)/Drivers!C20)),0)</f>
        <v>0</v>
      </c>
      <c r="E104" s="14">
        <f>(Summary!C10+Summary!C12)*D104*(1+Drivers!C21)^(A104/12)</f>
        <v>0</v>
      </c>
      <c r="F104" s="14">
        <f>IF(AND(A104&gt;0,A104&lt;=Drivers!C19),Summary!C11*Drivers!C40/Drivers!C19*(1+Drivers!C21)^(A104/12),Summary!C11*(1-Drivers!C40 )*D104*(1+Drivers!C21)^(A104/12))</f>
        <v>0</v>
      </c>
      <c r="G104" s="14">
        <f>IF(AND(A104&gt;0,A104&lt;=2),Drivers!C16/2,0)</f>
        <v>0</v>
      </c>
      <c r="H104" s="14">
        <f>IF(A104=(Drivers!C19+Drivers!C20),Drivers!C17*(1+Drivers!C21)^(A104/12),0)</f>
        <v>0</v>
      </c>
      <c r="I104" s="14">
        <f>IF(AND(A104&gt;0,A104&lt;=(Drivers!C19+Drivers!C20)),Drivers!C18*(1+Drivers!C23)^(A104/12),0)</f>
        <v>0</v>
      </c>
      <c r="J104" s="14">
        <f t="shared" si="1"/>
        <v>0</v>
      </c>
      <c r="K104" s="12">
        <f>IF(A104&gt;(Drivers!C19+Drivers!C20),MIN(1,0.5+0.5*(A104-(Drivers!C19+Drivers!C20))/Drivers!C39),0)</f>
        <v>1</v>
      </c>
      <c r="L104" s="14">
        <f>Drivers!C2*(B104-B103)*Drivers!C24*(1+Drivers!C22)^(A104/12)*Drivers!C25*K104</f>
        <v>633076.8458</v>
      </c>
      <c r="M104" s="14">
        <f>L104*Drivers!C26</f>
        <v>126615.3692</v>
      </c>
      <c r="N104" s="14">
        <f>(L104+M104)*Drivers!C27</f>
        <v>265892.2753</v>
      </c>
      <c r="O104" s="14">
        <f>IF(A104&gt;(Drivers!C19+Drivers!C20),Drivers!C28/12*(1+Drivers!C23)^(A104/12),0)</f>
        <v>465224.0196</v>
      </c>
      <c r="P104" s="14">
        <f>(L104+M104)*Drivers!C29</f>
        <v>30387.6886</v>
      </c>
      <c r="Q104" s="14">
        <f>Drivers!C3*Drivers!C30*(1+Drivers!C22)^(A104/12)*Drivers!C31*(1-Drivers!C32 )*K104</f>
        <v>53384.45625</v>
      </c>
      <c r="R104" s="14">
        <f>IF(A104&gt;(Drivers!C19+Drivers!C20),Drivers!C33/12*(1+Drivers!C23)^(A104/12),0)</f>
        <v>69783.60294</v>
      </c>
      <c r="S104" s="14">
        <f t="shared" si="2"/>
        <v>-18210.91511</v>
      </c>
      <c r="T104" s="14">
        <f t="shared" si="6"/>
        <v>1023411.613</v>
      </c>
      <c r="U104" s="14">
        <f>IF(AND(A104&gt;Drivers!C19,A104&lt;=(Drivers!C19+Drivers!C20)),Summary!C31*D104,0)</f>
        <v>0</v>
      </c>
      <c r="V104" s="14">
        <f>IF(A104&lt;=(Drivers!C19+Drivers!C20),(T104+U104/2)*Drivers!C36/12,T104*Drivers!C36/12)</f>
        <v>9807.694624</v>
      </c>
      <c r="W104" s="14">
        <f>IF(A104&gt;(Drivers!C19+Drivers!C20),MIN(T104,MAX(0,Summary!C32/12-V104)),0)</f>
        <v>4517.492499</v>
      </c>
      <c r="X104" s="14">
        <f>IF(A104=(Drivers!C19+1),Summary!C31*Drivers!C38,0)</f>
        <v>0</v>
      </c>
      <c r="Y104" s="14">
        <f t="shared" si="3"/>
        <v>1018894.12</v>
      </c>
      <c r="Z104" s="14">
        <f t="shared" si="4"/>
        <v>-32536.10223</v>
      </c>
      <c r="AA104" s="14">
        <f t="shared" si="7"/>
        <v>-109544517.8</v>
      </c>
      <c r="AB104" s="14">
        <f t="shared" si="5"/>
        <v>-18210.91511</v>
      </c>
      <c r="AC104" s="14">
        <f>(E104+F104+G104+H104)*Drivers!C45</f>
        <v>0</v>
      </c>
      <c r="AD104" s="14">
        <f>IF(A104&lt;=Summary!C18,AB104+IF(A104=Summary!C18,Summary!C40,0),0)</f>
        <v>-18210.91511</v>
      </c>
      <c r="AE104" s="14">
        <f>IF(A104&lt;=Summary!C18,Z104+IF(A104=Summary!C18,Summary!C40-Y104,0),0)</f>
        <v>-32536.10223</v>
      </c>
      <c r="AF104" s="14">
        <f>AD104-IF(A104=0,Drivers!C44,0)</f>
        <v>-18210.91511</v>
      </c>
      <c r="AG104" s="14">
        <f t="shared" si="8"/>
        <v>-109787118.7</v>
      </c>
    </row>
    <row r="105">
      <c r="A105" s="2">
        <v>103.0</v>
      </c>
      <c r="B105" s="15">
        <f>EDATE(Setup!B2,A105)</f>
        <v>49413</v>
      </c>
      <c r="C105" s="2" t="str">
        <f>IF(A105=0,"T0",IF(A105&lt;=Drivers!C19,"Preconstruction",IF(A105&lt;=(Drivers!C19+Drivers!C20),"Construction","Trading")))</f>
        <v>Trading</v>
      </c>
      <c r="D105" s="12">
        <f t="array" ref="D105">IF(AND(A105&gt;Drivers!C19,A105&lt;=(Drivers!C19+Drivers!C20)),SIN(PI()*(A105-Drivers!C19-0.5)/Drivers!C20)/SUMPRODUCT(SIN(PI()*(SEQUENCE(Drivers!C20,1)-0.5)/Drivers!C20)),0)</f>
        <v>0</v>
      </c>
      <c r="E105" s="14">
        <f>(Summary!C10+Summary!C12)*D105*(1+Drivers!C21)^(A105/12)</f>
        <v>0</v>
      </c>
      <c r="F105" s="14">
        <f>IF(AND(A105&gt;0,A105&lt;=Drivers!C19),Summary!C11*Drivers!C40/Drivers!C19*(1+Drivers!C21)^(A105/12),Summary!C11*(1-Drivers!C40 )*D105*(1+Drivers!C21)^(A105/12))</f>
        <v>0</v>
      </c>
      <c r="G105" s="14">
        <f>IF(AND(A105&gt;0,A105&lt;=2),Drivers!C16/2,0)</f>
        <v>0</v>
      </c>
      <c r="H105" s="14">
        <f>IF(A105=(Drivers!C19+Drivers!C20),Drivers!C17*(1+Drivers!C21)^(A105/12),0)</f>
        <v>0</v>
      </c>
      <c r="I105" s="14">
        <f>IF(AND(A105&gt;0,A105&lt;=(Drivers!C19+Drivers!C20)),Drivers!C18*(1+Drivers!C23)^(A105/12),0)</f>
        <v>0</v>
      </c>
      <c r="J105" s="14">
        <f t="shared" si="1"/>
        <v>0</v>
      </c>
      <c r="K105" s="12">
        <f>IF(A105&gt;(Drivers!C19+Drivers!C20),MIN(1,0.5+0.5*(A105-(Drivers!C19+Drivers!C20))/Drivers!C39),0)</f>
        <v>1</v>
      </c>
      <c r="L105" s="14">
        <f>Drivers!C2*(B105-B104)*Drivers!C24*(1+Drivers!C22)^(A105/12)*Drivers!C25*K105</f>
        <v>703201.0934</v>
      </c>
      <c r="M105" s="14">
        <f>L105*Drivers!C26</f>
        <v>140640.2187</v>
      </c>
      <c r="N105" s="14">
        <f>(L105+M105)*Drivers!C27</f>
        <v>295344.4592</v>
      </c>
      <c r="O105" s="14">
        <f>IF(A105&gt;(Drivers!C19+Drivers!C20),Drivers!C28/12*(1+Drivers!C23)^(A105/12),0)</f>
        <v>466747.042</v>
      </c>
      <c r="P105" s="14">
        <f>(L105+M105)*Drivers!C29</f>
        <v>33753.65248</v>
      </c>
      <c r="Q105" s="14">
        <f>Drivers!C3*Drivers!C30*(1+Drivers!C22)^(A105/12)*Drivers!C31*(1-Drivers!C32 )*K105</f>
        <v>53559.22307</v>
      </c>
      <c r="R105" s="14">
        <f>IF(A105&gt;(Drivers!C19+Drivers!C20),Drivers!C33/12*(1+Drivers!C23)^(A105/12),0)</f>
        <v>70012.05629</v>
      </c>
      <c r="S105" s="14">
        <f t="shared" si="2"/>
        <v>31543.32519</v>
      </c>
      <c r="T105" s="14">
        <f t="shared" si="6"/>
        <v>1018894.12</v>
      </c>
      <c r="U105" s="14">
        <f>IF(AND(A105&gt;Drivers!C19,A105&lt;=(Drivers!C19+Drivers!C20)),Summary!C31*D105,0)</f>
        <v>0</v>
      </c>
      <c r="V105" s="14">
        <f>IF(A105&lt;=(Drivers!C19+Drivers!C20),(T105+U105/2)*Drivers!C36/12,T105*Drivers!C36/12)</f>
        <v>9764.401987</v>
      </c>
      <c r="W105" s="14">
        <f>IF(A105&gt;(Drivers!C19+Drivers!C20),MIN(T105,MAX(0,Summary!C32/12-V105)),0)</f>
        <v>4560.785135</v>
      </c>
      <c r="X105" s="14">
        <f>IF(A105=(Drivers!C19+1),Summary!C31*Drivers!C38,0)</f>
        <v>0</v>
      </c>
      <c r="Y105" s="14">
        <f t="shared" si="3"/>
        <v>1014333.335</v>
      </c>
      <c r="Z105" s="14">
        <f t="shared" si="4"/>
        <v>17218.13807</v>
      </c>
      <c r="AA105" s="14">
        <f t="shared" si="7"/>
        <v>-109527299.6</v>
      </c>
      <c r="AB105" s="14">
        <f t="shared" si="5"/>
        <v>31543.32519</v>
      </c>
      <c r="AC105" s="14">
        <f>(E105+F105+G105+H105)*Drivers!C45</f>
        <v>0</v>
      </c>
      <c r="AD105" s="14">
        <f>IF(A105&lt;=Summary!C18,AB105+IF(A105=Summary!C18,Summary!C40,0),0)</f>
        <v>31543.32519</v>
      </c>
      <c r="AE105" s="14">
        <f>IF(A105&lt;=Summary!C18,Z105+IF(A105=Summary!C18,Summary!C40-Y105,0),0)</f>
        <v>17218.13807</v>
      </c>
      <c r="AF105" s="14">
        <f>AD105-IF(A105=0,Drivers!C44,0)</f>
        <v>31543.32519</v>
      </c>
      <c r="AG105" s="14">
        <f t="shared" si="8"/>
        <v>-109755575.4</v>
      </c>
    </row>
    <row r="106">
      <c r="A106" s="2">
        <v>104.0</v>
      </c>
      <c r="B106" s="15">
        <f>EDATE(Setup!B2,A106)</f>
        <v>49443</v>
      </c>
      <c r="C106" s="2" t="str">
        <f>IF(A106=0,"T0",IF(A106&lt;=Drivers!C19,"Preconstruction",IF(A106&lt;=(Drivers!C19+Drivers!C20),"Construction","Trading")))</f>
        <v>Trading</v>
      </c>
      <c r="D106" s="12">
        <f t="array" ref="D106">IF(AND(A106&gt;Drivers!C19,A106&lt;=(Drivers!C19+Drivers!C20)),SIN(PI()*(A106-Drivers!C19-0.5)/Drivers!C20)/SUMPRODUCT(SIN(PI()*(SEQUENCE(Drivers!C20,1)-0.5)/Drivers!C20)),0)</f>
        <v>0</v>
      </c>
      <c r="E106" s="14">
        <f>(Summary!C10+Summary!C12)*D106*(1+Drivers!C21)^(A106/12)</f>
        <v>0</v>
      </c>
      <c r="F106" s="14">
        <f>IF(AND(A106&gt;0,A106&lt;=Drivers!C19),Summary!C11*Drivers!C40/Drivers!C19*(1+Drivers!C21)^(A106/12),Summary!C11*(1-Drivers!C40 )*D106*(1+Drivers!C21)^(A106/12))</f>
        <v>0</v>
      </c>
      <c r="G106" s="14">
        <f>IF(AND(A106&gt;0,A106&lt;=2),Drivers!C16/2,0)</f>
        <v>0</v>
      </c>
      <c r="H106" s="14">
        <f>IF(A106=(Drivers!C19+Drivers!C20),Drivers!C17*(1+Drivers!C21)^(A106/12),0)</f>
        <v>0</v>
      </c>
      <c r="I106" s="14">
        <f>IF(AND(A106&gt;0,A106&lt;=(Drivers!C19+Drivers!C20)),Drivers!C18*(1+Drivers!C23)^(A106/12),0)</f>
        <v>0</v>
      </c>
      <c r="J106" s="14">
        <f t="shared" si="1"/>
        <v>0</v>
      </c>
      <c r="K106" s="12">
        <f>IF(A106&gt;(Drivers!C19+Drivers!C20),MIN(1,0.5+0.5*(A106-(Drivers!C19+Drivers!C20))/Drivers!C39),0)</f>
        <v>1</v>
      </c>
      <c r="L106" s="14">
        <f>Drivers!C2*(B106-B105)*Drivers!C24*(1+Drivers!C22)^(A106/12)*Drivers!C25*K106</f>
        <v>682745.0234</v>
      </c>
      <c r="M106" s="14">
        <f>L106*Drivers!C26</f>
        <v>136549.0047</v>
      </c>
      <c r="N106" s="14">
        <f>(L106+M106)*Drivers!C27</f>
        <v>286752.9098</v>
      </c>
      <c r="O106" s="14">
        <f>IF(A106&gt;(Drivers!C19+Drivers!C20),Drivers!C28/12*(1+Drivers!C23)^(A106/12),0)</f>
        <v>468275.0503</v>
      </c>
      <c r="P106" s="14">
        <f>(L106+M106)*Drivers!C29</f>
        <v>32771.76112</v>
      </c>
      <c r="Q106" s="14">
        <f>Drivers!C3*Drivers!C30*(1+Drivers!C22)^(A106/12)*Drivers!C31*(1-Drivers!C32 )*K106</f>
        <v>53734.56202</v>
      </c>
      <c r="R106" s="14">
        <f>IF(A106&gt;(Drivers!C19+Drivers!C20),Drivers!C33/12*(1+Drivers!C23)^(A106/12),0)</f>
        <v>70241.25755</v>
      </c>
      <c r="S106" s="14">
        <f t="shared" si="2"/>
        <v>14987.61126</v>
      </c>
      <c r="T106" s="14">
        <f t="shared" si="6"/>
        <v>1014333.335</v>
      </c>
      <c r="U106" s="14">
        <f>IF(AND(A106&gt;Drivers!C19,A106&lt;=(Drivers!C19+Drivers!C20)),Summary!C31*D106,0)</f>
        <v>0</v>
      </c>
      <c r="V106" s="14">
        <f>IF(A106&lt;=(Drivers!C19+Drivers!C20),(T106+U106/2)*Drivers!C36/12,T106*Drivers!C36/12)</f>
        <v>9720.694463</v>
      </c>
      <c r="W106" s="14">
        <f>IF(A106&gt;(Drivers!C19+Drivers!C20),MIN(T106,MAX(0,Summary!C32/12-V106)),0)</f>
        <v>4604.49266</v>
      </c>
      <c r="X106" s="14">
        <f>IF(A106=(Drivers!C19+1),Summary!C31*Drivers!C38,0)</f>
        <v>0</v>
      </c>
      <c r="Y106" s="14">
        <f t="shared" si="3"/>
        <v>1009728.843</v>
      </c>
      <c r="Z106" s="14">
        <f t="shared" si="4"/>
        <v>662.4241378</v>
      </c>
      <c r="AA106" s="14">
        <f t="shared" si="7"/>
        <v>-109526637.2</v>
      </c>
      <c r="AB106" s="14">
        <f t="shared" si="5"/>
        <v>14987.61126</v>
      </c>
      <c r="AC106" s="14">
        <f>(E106+F106+G106+H106)*Drivers!C45</f>
        <v>0</v>
      </c>
      <c r="AD106" s="14">
        <f>IF(A106&lt;=Summary!C18,AB106+IF(A106=Summary!C18,Summary!C40,0),0)</f>
        <v>14987.61126</v>
      </c>
      <c r="AE106" s="14">
        <f>IF(A106&lt;=Summary!C18,Z106+IF(A106=Summary!C18,Summary!C40-Y106,0),0)</f>
        <v>662.4241378</v>
      </c>
      <c r="AF106" s="14">
        <f>AD106-IF(A106=0,Drivers!C44,0)</f>
        <v>14987.61126</v>
      </c>
      <c r="AG106" s="14">
        <f t="shared" si="8"/>
        <v>-109740587.8</v>
      </c>
    </row>
    <row r="107">
      <c r="A107" s="2">
        <v>105.0</v>
      </c>
      <c r="B107" s="15">
        <f>EDATE(Setup!B2,A107)</f>
        <v>49474</v>
      </c>
      <c r="C107" s="2" t="str">
        <f>IF(A107=0,"T0",IF(A107&lt;=Drivers!C19,"Preconstruction",IF(A107&lt;=(Drivers!C19+Drivers!C20),"Construction","Trading")))</f>
        <v>Trading</v>
      </c>
      <c r="D107" s="12">
        <f t="array" ref="D107">IF(AND(A107&gt;Drivers!C19,A107&lt;=(Drivers!C19+Drivers!C20)),SIN(PI()*(A107-Drivers!C19-0.5)/Drivers!C20)/SUMPRODUCT(SIN(PI()*(SEQUENCE(Drivers!C20,1)-0.5)/Drivers!C20)),0)</f>
        <v>0</v>
      </c>
      <c r="E107" s="14">
        <f>(Summary!C10+Summary!C12)*D107*(1+Drivers!C21)^(A107/12)</f>
        <v>0</v>
      </c>
      <c r="F107" s="14">
        <f>IF(AND(A107&gt;0,A107&lt;=Drivers!C19),Summary!C11*Drivers!C40/Drivers!C19*(1+Drivers!C21)^(A107/12),Summary!C11*(1-Drivers!C40 )*D107*(1+Drivers!C21)^(A107/12))</f>
        <v>0</v>
      </c>
      <c r="G107" s="14">
        <f>IF(AND(A107&gt;0,A107&lt;=2),Drivers!C16/2,0)</f>
        <v>0</v>
      </c>
      <c r="H107" s="14">
        <f>IF(A107=(Drivers!C19+Drivers!C20),Drivers!C17*(1+Drivers!C21)^(A107/12),0)</f>
        <v>0</v>
      </c>
      <c r="I107" s="14">
        <f>IF(AND(A107&gt;0,A107&lt;=(Drivers!C19+Drivers!C20)),Drivers!C18*(1+Drivers!C23)^(A107/12),0)</f>
        <v>0</v>
      </c>
      <c r="J107" s="14">
        <f t="shared" si="1"/>
        <v>0</v>
      </c>
      <c r="K107" s="12">
        <f>IF(A107&gt;(Drivers!C19+Drivers!C20),MIN(1,0.5+0.5*(A107-(Drivers!C19+Drivers!C20))/Drivers!C39),0)</f>
        <v>1</v>
      </c>
      <c r="L107" s="14">
        <f>Drivers!C2*(B107-B106)*Drivers!C24*(1+Drivers!C22)^(A107/12)*Drivers!C25*K107</f>
        <v>707812.8247</v>
      </c>
      <c r="M107" s="14">
        <f>L107*Drivers!C26</f>
        <v>141562.5649</v>
      </c>
      <c r="N107" s="14">
        <f>(L107+M107)*Drivers!C27</f>
        <v>297281.3864</v>
      </c>
      <c r="O107" s="14">
        <f>IF(A107&gt;(Drivers!C19+Drivers!C20),Drivers!C28/12*(1+Drivers!C23)^(A107/12),0)</f>
        <v>469808.061</v>
      </c>
      <c r="P107" s="14">
        <f>(L107+M107)*Drivers!C29</f>
        <v>33975.01558</v>
      </c>
      <c r="Q107" s="14">
        <f>Drivers!C3*Drivers!C30*(1+Drivers!C22)^(A107/12)*Drivers!C31*(1-Drivers!C32 )*K107</f>
        <v>53910.475</v>
      </c>
      <c r="R107" s="14">
        <f>IF(A107&gt;(Drivers!C19+Drivers!C20),Drivers!C33/12*(1+Drivers!C23)^(A107/12),0)</f>
        <v>70471.20915</v>
      </c>
      <c r="S107" s="14">
        <f t="shared" si="2"/>
        <v>31750.19253</v>
      </c>
      <c r="T107" s="14">
        <f t="shared" si="6"/>
        <v>1009728.843</v>
      </c>
      <c r="U107" s="14">
        <f>IF(AND(A107&gt;Drivers!C19,A107&lt;=(Drivers!C19+Drivers!C20)),Summary!C31*D107,0)</f>
        <v>0</v>
      </c>
      <c r="V107" s="14">
        <f>IF(A107&lt;=(Drivers!C19+Drivers!C20),(T107+U107/2)*Drivers!C36/12,T107*Drivers!C36/12)</f>
        <v>9676.568075</v>
      </c>
      <c r="W107" s="14">
        <f>IF(A107&gt;(Drivers!C19+Drivers!C20),MIN(T107,MAX(0,Summary!C32/12-V107)),0)</f>
        <v>4648.619048</v>
      </c>
      <c r="X107" s="14">
        <f>IF(A107=(Drivers!C19+1),Summary!C31*Drivers!C38,0)</f>
        <v>0</v>
      </c>
      <c r="Y107" s="14">
        <f t="shared" si="3"/>
        <v>1005080.224</v>
      </c>
      <c r="Z107" s="14">
        <f t="shared" si="4"/>
        <v>17425.00541</v>
      </c>
      <c r="AA107" s="14">
        <f t="shared" si="7"/>
        <v>-109509212.2</v>
      </c>
      <c r="AB107" s="14">
        <f t="shared" si="5"/>
        <v>31750.19253</v>
      </c>
      <c r="AC107" s="14">
        <f>(E107+F107+G107+H107)*Drivers!C45</f>
        <v>0</v>
      </c>
      <c r="AD107" s="14">
        <f>IF(A107&lt;=Summary!C18,AB107+IF(A107=Summary!C18,Summary!C40,0),0)</f>
        <v>31750.19253</v>
      </c>
      <c r="AE107" s="14">
        <f>IF(A107&lt;=Summary!C18,Z107+IF(A107=Summary!C18,Summary!C40-Y107,0),0)</f>
        <v>17425.00541</v>
      </c>
      <c r="AF107" s="14">
        <f>AD107-IF(A107=0,Drivers!C44,0)</f>
        <v>31750.19253</v>
      </c>
      <c r="AG107" s="14">
        <f t="shared" si="8"/>
        <v>-109708837.6</v>
      </c>
    </row>
    <row r="108">
      <c r="A108" s="2">
        <v>106.0</v>
      </c>
      <c r="B108" s="15">
        <f>EDATE(Setup!B2,A108)</f>
        <v>49504</v>
      </c>
      <c r="C108" s="2" t="str">
        <f>IF(A108=0,"T0",IF(A108&lt;=Drivers!C19,"Preconstruction",IF(A108&lt;=(Drivers!C19+Drivers!C20),"Construction","Trading")))</f>
        <v>Trading</v>
      </c>
      <c r="D108" s="12">
        <f t="array" ref="D108">IF(AND(A108&gt;Drivers!C19,A108&lt;=(Drivers!C19+Drivers!C20)),SIN(PI()*(A108-Drivers!C19-0.5)/Drivers!C20)/SUMPRODUCT(SIN(PI()*(SEQUENCE(Drivers!C20,1)-0.5)/Drivers!C20)),0)</f>
        <v>0</v>
      </c>
      <c r="E108" s="14">
        <f>(Summary!C10+Summary!C12)*D108*(1+Drivers!C21)^(A108/12)</f>
        <v>0</v>
      </c>
      <c r="F108" s="14">
        <f>IF(AND(A108&gt;0,A108&lt;=Drivers!C19),Summary!C11*Drivers!C40/Drivers!C19*(1+Drivers!C21)^(A108/12),Summary!C11*(1-Drivers!C40 )*D108*(1+Drivers!C21)^(A108/12))</f>
        <v>0</v>
      </c>
      <c r="G108" s="14">
        <f>IF(AND(A108&gt;0,A108&lt;=2),Drivers!C16/2,0)</f>
        <v>0</v>
      </c>
      <c r="H108" s="14">
        <f>IF(A108=(Drivers!C19+Drivers!C20),Drivers!C17*(1+Drivers!C21)^(A108/12),0)</f>
        <v>0</v>
      </c>
      <c r="I108" s="14">
        <f>IF(AND(A108&gt;0,A108&lt;=(Drivers!C19+Drivers!C20)),Drivers!C18*(1+Drivers!C23)^(A108/12),0)</f>
        <v>0</v>
      </c>
      <c r="J108" s="14">
        <f t="shared" si="1"/>
        <v>0</v>
      </c>
      <c r="K108" s="12">
        <f>IF(A108&gt;(Drivers!C19+Drivers!C20),MIN(1,0.5+0.5*(A108-(Drivers!C19+Drivers!C20))/Drivers!C39),0)</f>
        <v>1</v>
      </c>
      <c r="L108" s="14">
        <f>Drivers!C2*(B108-B107)*Drivers!C24*(1+Drivers!C22)^(A108/12)*Drivers!C25*K108</f>
        <v>687222.5997</v>
      </c>
      <c r="M108" s="14">
        <f>L108*Drivers!C26</f>
        <v>137444.5199</v>
      </c>
      <c r="N108" s="14">
        <f>(L108+M108)*Drivers!C27</f>
        <v>288633.4919</v>
      </c>
      <c r="O108" s="14">
        <f>IF(A108&gt;(Drivers!C19+Drivers!C20),Drivers!C28/12*(1+Drivers!C23)^(A108/12),0)</f>
        <v>471346.0903</v>
      </c>
      <c r="P108" s="14">
        <f>(L108+M108)*Drivers!C29</f>
        <v>32986.68479</v>
      </c>
      <c r="Q108" s="14">
        <f>Drivers!C3*Drivers!C30*(1+Drivers!C22)^(A108/12)*Drivers!C31*(1-Drivers!C32 )*K108</f>
        <v>54086.96386</v>
      </c>
      <c r="R108" s="14">
        <f>IF(A108&gt;(Drivers!C19+Drivers!C20),Drivers!C33/12*(1+Drivers!C23)^(A108/12),0)</f>
        <v>70701.91355</v>
      </c>
      <c r="S108" s="14">
        <f t="shared" si="2"/>
        <v>15085.90297</v>
      </c>
      <c r="T108" s="14">
        <f t="shared" si="6"/>
        <v>1005080.224</v>
      </c>
      <c r="U108" s="14">
        <f>IF(AND(A108&gt;Drivers!C19,A108&lt;=(Drivers!C19+Drivers!C20)),Summary!C31*D108,0)</f>
        <v>0</v>
      </c>
      <c r="V108" s="14">
        <f>IF(A108&lt;=(Drivers!C19+Drivers!C20),(T108+U108/2)*Drivers!C36/12,T108*Drivers!C36/12)</f>
        <v>9632.018809</v>
      </c>
      <c r="W108" s="14">
        <f>IF(A108&gt;(Drivers!C19+Drivers!C20),MIN(T108,MAX(0,Summary!C32/12-V108)),0)</f>
        <v>4693.168314</v>
      </c>
      <c r="X108" s="14">
        <f>IF(A108=(Drivers!C19+1),Summary!C31*Drivers!C38,0)</f>
        <v>0</v>
      </c>
      <c r="Y108" s="14">
        <f t="shared" si="3"/>
        <v>1000387.055</v>
      </c>
      <c r="Z108" s="14">
        <f t="shared" si="4"/>
        <v>760.715844</v>
      </c>
      <c r="AA108" s="14">
        <f t="shared" si="7"/>
        <v>-109508451.5</v>
      </c>
      <c r="AB108" s="14">
        <f t="shared" si="5"/>
        <v>15085.90297</v>
      </c>
      <c r="AC108" s="14">
        <f>(E108+F108+G108+H108)*Drivers!C45</f>
        <v>0</v>
      </c>
      <c r="AD108" s="14">
        <f>IF(A108&lt;=Summary!C18,AB108+IF(A108=Summary!C18,Summary!C40,0),0)</f>
        <v>15085.90297</v>
      </c>
      <c r="AE108" s="14">
        <f>IF(A108&lt;=Summary!C18,Z108+IF(A108=Summary!C18,Summary!C40-Y108,0),0)</f>
        <v>760.715844</v>
      </c>
      <c r="AF108" s="14">
        <f>AD108-IF(A108=0,Drivers!C44,0)</f>
        <v>15085.90297</v>
      </c>
      <c r="AG108" s="14">
        <f t="shared" si="8"/>
        <v>-109693751.7</v>
      </c>
    </row>
    <row r="109">
      <c r="A109" s="2">
        <v>107.0</v>
      </c>
      <c r="B109" s="15">
        <f>EDATE(Setup!B2,A109)</f>
        <v>49535</v>
      </c>
      <c r="C109" s="2" t="str">
        <f>IF(A109=0,"T0",IF(A109&lt;=Drivers!C19,"Preconstruction",IF(A109&lt;=(Drivers!C19+Drivers!C20),"Construction","Trading")))</f>
        <v>Trading</v>
      </c>
      <c r="D109" s="12">
        <f t="array" ref="D109">IF(AND(A109&gt;Drivers!C19,A109&lt;=(Drivers!C19+Drivers!C20)),SIN(PI()*(A109-Drivers!C19-0.5)/Drivers!C20)/SUMPRODUCT(SIN(PI()*(SEQUENCE(Drivers!C20,1)-0.5)/Drivers!C20)),0)</f>
        <v>0</v>
      </c>
      <c r="E109" s="14">
        <f>(Summary!C10+Summary!C12)*D109*(1+Drivers!C21)^(A109/12)</f>
        <v>0</v>
      </c>
      <c r="F109" s="14">
        <f>IF(AND(A109&gt;0,A109&lt;=Drivers!C19),Summary!C11*Drivers!C40/Drivers!C19*(1+Drivers!C21)^(A109/12),Summary!C11*(1-Drivers!C40 )*D109*(1+Drivers!C21)^(A109/12))</f>
        <v>0</v>
      </c>
      <c r="G109" s="14">
        <f>IF(AND(A109&gt;0,A109&lt;=2),Drivers!C16/2,0)</f>
        <v>0</v>
      </c>
      <c r="H109" s="14">
        <f>IF(A109=(Drivers!C19+Drivers!C20),Drivers!C17*(1+Drivers!C21)^(A109/12),0)</f>
        <v>0</v>
      </c>
      <c r="I109" s="14">
        <f>IF(AND(A109&gt;0,A109&lt;=(Drivers!C19+Drivers!C20)),Drivers!C18*(1+Drivers!C23)^(A109/12),0)</f>
        <v>0</v>
      </c>
      <c r="J109" s="14">
        <f t="shared" si="1"/>
        <v>0</v>
      </c>
      <c r="K109" s="12">
        <f>IF(A109&gt;(Drivers!C19+Drivers!C20),MIN(1,0.5+0.5*(A109-(Drivers!C19+Drivers!C20))/Drivers!C39),0)</f>
        <v>1</v>
      </c>
      <c r="L109" s="14">
        <f>Drivers!C2*(B109-B108)*Drivers!C24*(1+Drivers!C22)^(A109/12)*Drivers!C25*K109</f>
        <v>712454.8006</v>
      </c>
      <c r="M109" s="14">
        <f>L109*Drivers!C26</f>
        <v>142490.9601</v>
      </c>
      <c r="N109" s="14">
        <f>(L109+M109)*Drivers!C27</f>
        <v>299231.0162</v>
      </c>
      <c r="O109" s="14">
        <f>IF(A109&gt;(Drivers!C19+Drivers!C20),Drivers!C28/12*(1+Drivers!C23)^(A109/12),0)</f>
        <v>472889.1548</v>
      </c>
      <c r="P109" s="14">
        <f>(L109+M109)*Drivers!C29</f>
        <v>34197.83043</v>
      </c>
      <c r="Q109" s="14">
        <f>Drivers!C3*Drivers!C30*(1+Drivers!C22)^(A109/12)*Drivers!C31*(1-Drivers!C32 )*K109</f>
        <v>54264.03051</v>
      </c>
      <c r="R109" s="14">
        <f>IF(A109&gt;(Drivers!C19+Drivers!C20),Drivers!C33/12*(1+Drivers!C23)^(A109/12),0)</f>
        <v>70933.37322</v>
      </c>
      <c r="S109" s="14">
        <f t="shared" si="2"/>
        <v>31958.41655</v>
      </c>
      <c r="T109" s="14">
        <f t="shared" si="6"/>
        <v>1000387.055</v>
      </c>
      <c r="U109" s="14">
        <f>IF(AND(A109&gt;Drivers!C19,A109&lt;=(Drivers!C19+Drivers!C20)),Summary!C31*D109,0)</f>
        <v>0</v>
      </c>
      <c r="V109" s="14">
        <f>IF(A109&lt;=(Drivers!C19+Drivers!C20),(T109+U109/2)*Drivers!C36/12,T109*Drivers!C36/12)</f>
        <v>9587.042613</v>
      </c>
      <c r="W109" s="14">
        <f>IF(A109&gt;(Drivers!C19+Drivers!C20),MIN(T109,MAX(0,Summary!C32/12-V109)),0)</f>
        <v>4738.14451</v>
      </c>
      <c r="X109" s="14">
        <f>IF(A109=(Drivers!C19+1),Summary!C31*Drivers!C38,0)</f>
        <v>0</v>
      </c>
      <c r="Y109" s="14">
        <f t="shared" si="3"/>
        <v>995648.9108</v>
      </c>
      <c r="Z109" s="14">
        <f t="shared" si="4"/>
        <v>17633.22942</v>
      </c>
      <c r="AA109" s="14">
        <f t="shared" si="7"/>
        <v>-109490818.2</v>
      </c>
      <c r="AB109" s="14">
        <f t="shared" si="5"/>
        <v>31958.41655</v>
      </c>
      <c r="AC109" s="14">
        <f>(E109+F109+G109+H109)*Drivers!C45</f>
        <v>0</v>
      </c>
      <c r="AD109" s="14">
        <f>IF(A109&lt;=Summary!C18,AB109+IF(A109=Summary!C18,Summary!C40,0),0)</f>
        <v>31958.41655</v>
      </c>
      <c r="AE109" s="14">
        <f>IF(A109&lt;=Summary!C18,Z109+IF(A109=Summary!C18,Summary!C40-Y109,0),0)</f>
        <v>17633.22942</v>
      </c>
      <c r="AF109" s="14">
        <f>AD109-IF(A109=0,Drivers!C44,0)</f>
        <v>31958.41655</v>
      </c>
      <c r="AG109" s="14">
        <f t="shared" si="8"/>
        <v>-109661793.2</v>
      </c>
    </row>
    <row r="110">
      <c r="A110" s="2">
        <v>108.0</v>
      </c>
      <c r="B110" s="15">
        <f>EDATE(Setup!B2,A110)</f>
        <v>49566</v>
      </c>
      <c r="C110" s="2" t="str">
        <f>IF(A110=0,"T0",IF(A110&lt;=Drivers!C19,"Preconstruction",IF(A110&lt;=(Drivers!C19+Drivers!C20),"Construction","Trading")))</f>
        <v>Trading</v>
      </c>
      <c r="D110" s="12">
        <f t="array" ref="D110">IF(AND(A110&gt;Drivers!C19,A110&lt;=(Drivers!C19+Drivers!C20)),SIN(PI()*(A110-Drivers!C19-0.5)/Drivers!C20)/SUMPRODUCT(SIN(PI()*(SEQUENCE(Drivers!C20,1)-0.5)/Drivers!C20)),0)</f>
        <v>0</v>
      </c>
      <c r="E110" s="14">
        <f>(Summary!C10+Summary!C12)*D110*(1+Drivers!C21)^(A110/12)</f>
        <v>0</v>
      </c>
      <c r="F110" s="14">
        <f>IF(AND(A110&gt;0,A110&lt;=Drivers!C19),Summary!C11*Drivers!C40/Drivers!C19*(1+Drivers!C21)^(A110/12),Summary!C11*(1-Drivers!C40 )*D110*(1+Drivers!C21)^(A110/12))</f>
        <v>0</v>
      </c>
      <c r="G110" s="14">
        <f>IF(AND(A110&gt;0,A110&lt;=2),Drivers!C16/2,0)</f>
        <v>0</v>
      </c>
      <c r="H110" s="14">
        <f>IF(A110=(Drivers!C19+Drivers!C20),Drivers!C17*(1+Drivers!C21)^(A110/12),0)</f>
        <v>0</v>
      </c>
      <c r="I110" s="14">
        <f>IF(AND(A110&gt;0,A110&lt;=(Drivers!C19+Drivers!C20)),Drivers!C18*(1+Drivers!C23)^(A110/12),0)</f>
        <v>0</v>
      </c>
      <c r="J110" s="14">
        <f t="shared" si="1"/>
        <v>0</v>
      </c>
      <c r="K110" s="12">
        <f>IF(A110&gt;(Drivers!C19+Drivers!C20),MIN(1,0.5+0.5*(A110-(Drivers!C19+Drivers!C20))/Drivers!C39),0)</f>
        <v>1</v>
      </c>
      <c r="L110" s="14">
        <f>Drivers!C2*(B110-B109)*Drivers!C24*(1+Drivers!C22)^(A110/12)*Drivers!C25*K110</f>
        <v>714787.1922</v>
      </c>
      <c r="M110" s="14">
        <f>L110*Drivers!C26</f>
        <v>142957.4384</v>
      </c>
      <c r="N110" s="14">
        <f>(L110+M110)*Drivers!C27</f>
        <v>300210.6207</v>
      </c>
      <c r="O110" s="14">
        <f>IF(A110&gt;(Drivers!C19+Drivers!C20),Drivers!C28/12*(1+Drivers!C23)^(A110/12),0)</f>
        <v>474437.2708</v>
      </c>
      <c r="P110" s="14">
        <f>(L110+M110)*Drivers!C29</f>
        <v>34309.78523</v>
      </c>
      <c r="Q110" s="14">
        <f>Drivers!C3*Drivers!C30*(1+Drivers!C22)^(A110/12)*Drivers!C31*(1-Drivers!C32 )*K110</f>
        <v>54441.67683</v>
      </c>
      <c r="R110" s="14">
        <f>IF(A110&gt;(Drivers!C19+Drivers!C20),Drivers!C33/12*(1+Drivers!C23)^(A110/12),0)</f>
        <v>71165.59062</v>
      </c>
      <c r="S110" s="14">
        <f t="shared" si="2"/>
        <v>32063.04009</v>
      </c>
      <c r="T110" s="14">
        <f t="shared" si="6"/>
        <v>995648.9108</v>
      </c>
      <c r="U110" s="14">
        <f>IF(AND(A110&gt;Drivers!C19,A110&lt;=(Drivers!C19+Drivers!C20)),Summary!C31*D110,0)</f>
        <v>0</v>
      </c>
      <c r="V110" s="14">
        <f>IF(A110&lt;=(Drivers!C19+Drivers!C20),(T110+U110/2)*Drivers!C36/12,T110*Drivers!C36/12)</f>
        <v>9541.635395</v>
      </c>
      <c r="W110" s="14">
        <f>IF(A110&gt;(Drivers!C19+Drivers!C20),MIN(T110,MAX(0,Summary!C32/12-V110)),0)</f>
        <v>4783.551728</v>
      </c>
      <c r="X110" s="14">
        <f>IF(A110=(Drivers!C19+1),Summary!C31*Drivers!C38,0)</f>
        <v>0</v>
      </c>
      <c r="Y110" s="14">
        <f t="shared" si="3"/>
        <v>990865.359</v>
      </c>
      <c r="Z110" s="14">
        <f t="shared" si="4"/>
        <v>17737.85296</v>
      </c>
      <c r="AA110" s="14">
        <f t="shared" si="7"/>
        <v>-109473080.4</v>
      </c>
      <c r="AB110" s="14">
        <f t="shared" si="5"/>
        <v>32063.04009</v>
      </c>
      <c r="AC110" s="14">
        <f>(E110+F110+G110+H110)*Drivers!C45</f>
        <v>0</v>
      </c>
      <c r="AD110" s="14">
        <f>IF(A110&lt;=Summary!C18,AB110+IF(A110=Summary!C18,Summary!C40,0),0)</f>
        <v>32063.04009</v>
      </c>
      <c r="AE110" s="14">
        <f>IF(A110&lt;=Summary!C18,Z110+IF(A110=Summary!C18,Summary!C40-Y110,0),0)</f>
        <v>17737.85296</v>
      </c>
      <c r="AF110" s="14">
        <f>AD110-IF(A110=0,Drivers!C44,0)</f>
        <v>32063.04009</v>
      </c>
      <c r="AG110" s="14">
        <f t="shared" si="8"/>
        <v>-109629730.2</v>
      </c>
    </row>
    <row r="111">
      <c r="A111" s="2">
        <v>109.0</v>
      </c>
      <c r="B111" s="15">
        <f>EDATE(Setup!B2,A111)</f>
        <v>49596</v>
      </c>
      <c r="C111" s="2" t="str">
        <f>IF(A111=0,"T0",IF(A111&lt;=Drivers!C19,"Preconstruction",IF(A111&lt;=(Drivers!C19+Drivers!C20),"Construction","Trading")))</f>
        <v>Trading</v>
      </c>
      <c r="D111" s="12">
        <f t="array" ref="D111">IF(AND(A111&gt;Drivers!C19,A111&lt;=(Drivers!C19+Drivers!C20)),SIN(PI()*(A111-Drivers!C19-0.5)/Drivers!C20)/SUMPRODUCT(SIN(PI()*(SEQUENCE(Drivers!C20,1)-0.5)/Drivers!C20)),0)</f>
        <v>0</v>
      </c>
      <c r="E111" s="14">
        <f>(Summary!C10+Summary!C12)*D111*(1+Drivers!C21)^(A111/12)</f>
        <v>0</v>
      </c>
      <c r="F111" s="14">
        <f>IF(AND(A111&gt;0,A111&lt;=Drivers!C19),Summary!C11*Drivers!C40/Drivers!C19*(1+Drivers!C21)^(A111/12),Summary!C11*(1-Drivers!C40 )*D111*(1+Drivers!C21)^(A111/12))</f>
        <v>0</v>
      </c>
      <c r="G111" s="14">
        <f>IF(AND(A111&gt;0,A111&lt;=2),Drivers!C16/2,0)</f>
        <v>0</v>
      </c>
      <c r="H111" s="14">
        <f>IF(A111=(Drivers!C19+Drivers!C20),Drivers!C17*(1+Drivers!C21)^(A111/12),0)</f>
        <v>0</v>
      </c>
      <c r="I111" s="14">
        <f>IF(AND(A111&gt;0,A111&lt;=(Drivers!C19+Drivers!C20)),Drivers!C18*(1+Drivers!C23)^(A111/12),0)</f>
        <v>0</v>
      </c>
      <c r="J111" s="14">
        <f t="shared" si="1"/>
        <v>0</v>
      </c>
      <c r="K111" s="12">
        <f>IF(A111&gt;(Drivers!C19+Drivers!C20),MIN(1,0.5+0.5*(A111-(Drivers!C19+Drivers!C20))/Drivers!C39),0)</f>
        <v>1</v>
      </c>
      <c r="L111" s="14">
        <f>Drivers!C2*(B111-B110)*Drivers!C24*(1+Drivers!C22)^(A111/12)*Drivers!C25*K111</f>
        <v>693994.0834</v>
      </c>
      <c r="M111" s="14">
        <f>L111*Drivers!C26</f>
        <v>138798.8167</v>
      </c>
      <c r="N111" s="14">
        <f>(L111+M111)*Drivers!C27</f>
        <v>291477.515</v>
      </c>
      <c r="O111" s="14">
        <f>IF(A111&gt;(Drivers!C19+Drivers!C20),Drivers!C28/12*(1+Drivers!C23)^(A111/12),0)</f>
        <v>475990.455</v>
      </c>
      <c r="P111" s="14">
        <f>(L111+M111)*Drivers!C29</f>
        <v>33311.716</v>
      </c>
      <c r="Q111" s="14">
        <f>Drivers!C3*Drivers!C30*(1+Drivers!C22)^(A111/12)*Drivers!C31*(1-Drivers!C32 )*K111</f>
        <v>54619.90471</v>
      </c>
      <c r="R111" s="14">
        <f>IF(A111&gt;(Drivers!C19+Drivers!C20),Drivers!C33/12*(1+Drivers!C23)^(A111/12),0)</f>
        <v>71398.56825</v>
      </c>
      <c r="S111" s="14">
        <f t="shared" si="2"/>
        <v>15234.5505</v>
      </c>
      <c r="T111" s="14">
        <f t="shared" si="6"/>
        <v>990865.359</v>
      </c>
      <c r="U111" s="14">
        <f>IF(AND(A111&gt;Drivers!C19,A111&lt;=(Drivers!C19+Drivers!C20)),Summary!C31*D111,0)</f>
        <v>0</v>
      </c>
      <c r="V111" s="14">
        <f>IF(A111&lt;=(Drivers!C19+Drivers!C20),(T111+U111/2)*Drivers!C36/12,T111*Drivers!C36/12)</f>
        <v>9495.793024</v>
      </c>
      <c r="W111" s="14">
        <f>IF(A111&gt;(Drivers!C19+Drivers!C20),MIN(T111,MAX(0,Summary!C32/12-V111)),0)</f>
        <v>4829.394099</v>
      </c>
      <c r="X111" s="14">
        <f>IF(A111=(Drivers!C19+1),Summary!C31*Drivers!C38,0)</f>
        <v>0</v>
      </c>
      <c r="Y111" s="14">
        <f t="shared" si="3"/>
        <v>986035.9649</v>
      </c>
      <c r="Z111" s="14">
        <f t="shared" si="4"/>
        <v>909.3633791</v>
      </c>
      <c r="AA111" s="14">
        <f t="shared" si="7"/>
        <v>-109472171</v>
      </c>
      <c r="AB111" s="14">
        <f t="shared" si="5"/>
        <v>15234.5505</v>
      </c>
      <c r="AC111" s="14">
        <f>(E111+F111+G111+H111)*Drivers!C45</f>
        <v>0</v>
      </c>
      <c r="AD111" s="14">
        <f>IF(A111&lt;=Summary!C18,AB111+IF(A111=Summary!C18,Summary!C40,0),0)</f>
        <v>15234.5505</v>
      </c>
      <c r="AE111" s="14">
        <f>IF(A111&lt;=Summary!C18,Z111+IF(A111=Summary!C18,Summary!C40-Y111,0),0)</f>
        <v>909.3633791</v>
      </c>
      <c r="AF111" s="14">
        <f>AD111-IF(A111=0,Drivers!C44,0)</f>
        <v>15234.5505</v>
      </c>
      <c r="AG111" s="14">
        <f t="shared" si="8"/>
        <v>-109614495.6</v>
      </c>
    </row>
    <row r="112">
      <c r="A112" s="2">
        <v>110.0</v>
      </c>
      <c r="B112" s="15">
        <f>EDATE(Setup!B2,A112)</f>
        <v>49627</v>
      </c>
      <c r="C112" s="2" t="str">
        <f>IF(A112=0,"T0",IF(A112&lt;=Drivers!C19,"Preconstruction",IF(A112&lt;=(Drivers!C19+Drivers!C20),"Construction","Trading")))</f>
        <v>Trading</v>
      </c>
      <c r="D112" s="12">
        <f t="array" ref="D112">IF(AND(A112&gt;Drivers!C19,A112&lt;=(Drivers!C19+Drivers!C20)),SIN(PI()*(A112-Drivers!C19-0.5)/Drivers!C20)/SUMPRODUCT(SIN(PI()*(SEQUENCE(Drivers!C20,1)-0.5)/Drivers!C20)),0)</f>
        <v>0</v>
      </c>
      <c r="E112" s="14">
        <f>(Summary!C10+Summary!C12)*D112*(1+Drivers!C21)^(A112/12)</f>
        <v>0</v>
      </c>
      <c r="F112" s="14">
        <f>IF(AND(A112&gt;0,A112&lt;=Drivers!C19),Summary!C11*Drivers!C40/Drivers!C19*(1+Drivers!C21)^(A112/12),Summary!C11*(1-Drivers!C40 )*D112*(1+Drivers!C21)^(A112/12))</f>
        <v>0</v>
      </c>
      <c r="G112" s="14">
        <f>IF(AND(A112&gt;0,A112&lt;=2),Drivers!C16/2,0)</f>
        <v>0</v>
      </c>
      <c r="H112" s="14">
        <f>IF(A112=(Drivers!C19+Drivers!C20),Drivers!C17*(1+Drivers!C21)^(A112/12),0)</f>
        <v>0</v>
      </c>
      <c r="I112" s="14">
        <f>IF(AND(A112&gt;0,A112&lt;=(Drivers!C19+Drivers!C20)),Drivers!C18*(1+Drivers!C23)^(A112/12),0)</f>
        <v>0</v>
      </c>
      <c r="J112" s="14">
        <f t="shared" si="1"/>
        <v>0</v>
      </c>
      <c r="K112" s="12">
        <f>IF(A112&gt;(Drivers!C19+Drivers!C20),MIN(1,0.5+0.5*(A112-(Drivers!C19+Drivers!C20))/Drivers!C39),0)</f>
        <v>1</v>
      </c>
      <c r="L112" s="14">
        <f>Drivers!C2*(B112-B111)*Drivers!C24*(1+Drivers!C22)^(A112/12)*Drivers!C25*K112</f>
        <v>719474.9074</v>
      </c>
      <c r="M112" s="14">
        <f>L112*Drivers!C26</f>
        <v>143894.9815</v>
      </c>
      <c r="N112" s="14">
        <f>(L112+M112)*Drivers!C27</f>
        <v>302179.4611</v>
      </c>
      <c r="O112" s="14">
        <f>IF(A112&gt;(Drivers!C19+Drivers!C20),Drivers!C28/12*(1+Drivers!C23)^(A112/12),0)</f>
        <v>477548.7239</v>
      </c>
      <c r="P112" s="14">
        <f>(L112+M112)*Drivers!C29</f>
        <v>34534.79555</v>
      </c>
      <c r="Q112" s="14">
        <f>Drivers!C3*Drivers!C30*(1+Drivers!C22)^(A112/12)*Drivers!C31*(1-Drivers!C32 )*K112</f>
        <v>54798.71606</v>
      </c>
      <c r="R112" s="14">
        <f>IF(A112&gt;(Drivers!C19+Drivers!C20),Drivers!C33/12*(1+Drivers!C23)^(A112/12),0)</f>
        <v>71632.30858</v>
      </c>
      <c r="S112" s="14">
        <f t="shared" si="2"/>
        <v>32273.31582</v>
      </c>
      <c r="T112" s="14">
        <f t="shared" si="6"/>
        <v>986035.9649</v>
      </c>
      <c r="U112" s="14">
        <f>IF(AND(A112&gt;Drivers!C19,A112&lt;=(Drivers!C19+Drivers!C20)),Summary!C31*D112,0)</f>
        <v>0</v>
      </c>
      <c r="V112" s="14">
        <f>IF(A112&lt;=(Drivers!C19+Drivers!C20),(T112+U112/2)*Drivers!C36/12,T112*Drivers!C36/12)</f>
        <v>9449.511331</v>
      </c>
      <c r="W112" s="14">
        <f>IF(A112&gt;(Drivers!C19+Drivers!C20),MIN(T112,MAX(0,Summary!C32/12-V112)),0)</f>
        <v>4875.675792</v>
      </c>
      <c r="X112" s="14">
        <f>IF(A112=(Drivers!C19+1),Summary!C31*Drivers!C38,0)</f>
        <v>0</v>
      </c>
      <c r="Y112" s="14">
        <f t="shared" si="3"/>
        <v>981160.2891</v>
      </c>
      <c r="Z112" s="14">
        <f t="shared" si="4"/>
        <v>17948.12869</v>
      </c>
      <c r="AA112" s="14">
        <f t="shared" si="7"/>
        <v>-109454222.9</v>
      </c>
      <c r="AB112" s="14">
        <f t="shared" si="5"/>
        <v>32273.31582</v>
      </c>
      <c r="AC112" s="14">
        <f>(E112+F112+G112+H112)*Drivers!C45</f>
        <v>0</v>
      </c>
      <c r="AD112" s="14">
        <f>IF(A112&lt;=Summary!C18,AB112+IF(A112=Summary!C18,Summary!C40,0),0)</f>
        <v>32273.31582</v>
      </c>
      <c r="AE112" s="14">
        <f>IF(A112&lt;=Summary!C18,Z112+IF(A112=Summary!C18,Summary!C40-Y112,0),0)</f>
        <v>17948.12869</v>
      </c>
      <c r="AF112" s="14">
        <f>AD112-IF(A112=0,Drivers!C44,0)</f>
        <v>32273.31582</v>
      </c>
      <c r="AG112" s="14">
        <f t="shared" si="8"/>
        <v>-109582222.3</v>
      </c>
    </row>
    <row r="113">
      <c r="A113" s="2">
        <v>111.0</v>
      </c>
      <c r="B113" s="15">
        <f>EDATE(Setup!B2,A113)</f>
        <v>49657</v>
      </c>
      <c r="C113" s="2" t="str">
        <f>IF(A113=0,"T0",IF(A113&lt;=Drivers!C19,"Preconstruction",IF(A113&lt;=(Drivers!C19+Drivers!C20),"Construction","Trading")))</f>
        <v>Trading</v>
      </c>
      <c r="D113" s="12">
        <f t="array" ref="D113">IF(AND(A113&gt;Drivers!C19,A113&lt;=(Drivers!C19+Drivers!C20)),SIN(PI()*(A113-Drivers!C19-0.5)/Drivers!C20)/SUMPRODUCT(SIN(PI()*(SEQUENCE(Drivers!C20,1)-0.5)/Drivers!C20)),0)</f>
        <v>0</v>
      </c>
      <c r="E113" s="14">
        <f>(Summary!C10+Summary!C12)*D113*(1+Drivers!C21)^(A113/12)</f>
        <v>0</v>
      </c>
      <c r="F113" s="14">
        <f>IF(AND(A113&gt;0,A113&lt;=Drivers!C19),Summary!C11*Drivers!C40/Drivers!C19*(1+Drivers!C21)^(A113/12),Summary!C11*(1-Drivers!C40 )*D113*(1+Drivers!C21)^(A113/12))</f>
        <v>0</v>
      </c>
      <c r="G113" s="14">
        <f>IF(AND(A113&gt;0,A113&lt;=2),Drivers!C16/2,0)</f>
        <v>0</v>
      </c>
      <c r="H113" s="14">
        <f>IF(A113=(Drivers!C19+Drivers!C20),Drivers!C17*(1+Drivers!C21)^(A113/12),0)</f>
        <v>0</v>
      </c>
      <c r="I113" s="14">
        <f>IF(AND(A113&gt;0,A113&lt;=(Drivers!C19+Drivers!C20)),Drivers!C18*(1+Drivers!C23)^(A113/12),0)</f>
        <v>0</v>
      </c>
      <c r="J113" s="14">
        <f t="shared" si="1"/>
        <v>0</v>
      </c>
      <c r="K113" s="12">
        <f>IF(A113&gt;(Drivers!C19+Drivers!C20),MIN(1,0.5+0.5*(A113-(Drivers!C19+Drivers!C20))/Drivers!C39),0)</f>
        <v>1</v>
      </c>
      <c r="L113" s="14">
        <f>Drivers!C2*(B113-B112)*Drivers!C24*(1+Drivers!C22)^(A113/12)*Drivers!C25*K113</f>
        <v>698545.4332</v>
      </c>
      <c r="M113" s="14">
        <f>L113*Drivers!C26</f>
        <v>139709.0866</v>
      </c>
      <c r="N113" s="14">
        <f>(L113+M113)*Drivers!C27</f>
        <v>293389.082</v>
      </c>
      <c r="O113" s="14">
        <f>IF(A113&gt;(Drivers!C19+Drivers!C20),Drivers!C28/12*(1+Drivers!C23)^(A113/12),0)</f>
        <v>479112.0941</v>
      </c>
      <c r="P113" s="14">
        <f>(L113+M113)*Drivers!C29</f>
        <v>33530.18079</v>
      </c>
      <c r="Q113" s="14">
        <f>Drivers!C3*Drivers!C30*(1+Drivers!C22)^(A113/12)*Drivers!C31*(1-Drivers!C32 )*K113</f>
        <v>54978.1128</v>
      </c>
      <c r="R113" s="14">
        <f>IF(A113&gt;(Drivers!C19+Drivers!C20),Drivers!C33/12*(1+Drivers!C23)^(A113/12),0)</f>
        <v>71866.81412</v>
      </c>
      <c r="S113" s="14">
        <f t="shared" si="2"/>
        <v>15334.46168</v>
      </c>
      <c r="T113" s="14">
        <f t="shared" si="6"/>
        <v>981160.2891</v>
      </c>
      <c r="U113" s="14">
        <f>IF(AND(A113&gt;Drivers!C19,A113&lt;=(Drivers!C19+Drivers!C20)),Summary!C31*D113,0)</f>
        <v>0</v>
      </c>
      <c r="V113" s="14">
        <f>IF(A113&lt;=(Drivers!C19+Drivers!C20),(T113+U113/2)*Drivers!C36/12,T113*Drivers!C36/12)</f>
        <v>9402.786104</v>
      </c>
      <c r="W113" s="14">
        <f>IF(A113&gt;(Drivers!C19+Drivers!C20),MIN(T113,MAX(0,Summary!C32/12-V113)),0)</f>
        <v>4922.401019</v>
      </c>
      <c r="X113" s="14">
        <f>IF(A113=(Drivers!C19+1),Summary!C31*Drivers!C38,0)</f>
        <v>0</v>
      </c>
      <c r="Y113" s="14">
        <f t="shared" si="3"/>
        <v>976237.8881</v>
      </c>
      <c r="Z113" s="14">
        <f t="shared" si="4"/>
        <v>1009.274562</v>
      </c>
      <c r="AA113" s="14">
        <f t="shared" si="7"/>
        <v>-109453213.6</v>
      </c>
      <c r="AB113" s="14">
        <f t="shared" si="5"/>
        <v>15334.46168</v>
      </c>
      <c r="AC113" s="14">
        <f>(E113+F113+G113+H113)*Drivers!C45</f>
        <v>0</v>
      </c>
      <c r="AD113" s="14">
        <f>IF(A113&lt;=Summary!C18,AB113+IF(A113=Summary!C18,Summary!C40,0),0)</f>
        <v>15334.46168</v>
      </c>
      <c r="AE113" s="14">
        <f>IF(A113&lt;=Summary!C18,Z113+IF(A113=Summary!C18,Summary!C40-Y113,0),0)</f>
        <v>1009.274562</v>
      </c>
      <c r="AF113" s="14">
        <f>AD113-IF(A113=0,Drivers!C44,0)</f>
        <v>15334.46168</v>
      </c>
      <c r="AG113" s="14">
        <f t="shared" si="8"/>
        <v>-109566887.9</v>
      </c>
    </row>
    <row r="114">
      <c r="A114" s="2">
        <v>112.0</v>
      </c>
      <c r="B114" s="15">
        <f>EDATE(Setup!B2,A114)</f>
        <v>49688</v>
      </c>
      <c r="C114" s="2" t="str">
        <f>IF(A114=0,"T0",IF(A114&lt;=Drivers!C19,"Preconstruction",IF(A114&lt;=(Drivers!C19+Drivers!C20),"Construction","Trading")))</f>
        <v>Trading</v>
      </c>
      <c r="D114" s="12">
        <f t="array" ref="D114">IF(AND(A114&gt;Drivers!C19,A114&lt;=(Drivers!C19+Drivers!C20)),SIN(PI()*(A114-Drivers!C19-0.5)/Drivers!C20)/SUMPRODUCT(SIN(PI()*(SEQUENCE(Drivers!C20,1)-0.5)/Drivers!C20)),0)</f>
        <v>0</v>
      </c>
      <c r="E114" s="14">
        <f>(Summary!C10+Summary!C12)*D114*(1+Drivers!C21)^(A114/12)</f>
        <v>0</v>
      </c>
      <c r="F114" s="14">
        <f>IF(AND(A114&gt;0,A114&lt;=Drivers!C19),Summary!C11*Drivers!C40/Drivers!C19*(1+Drivers!C21)^(A114/12),Summary!C11*(1-Drivers!C40 )*D114*(1+Drivers!C21)^(A114/12))</f>
        <v>0</v>
      </c>
      <c r="G114" s="14">
        <f>IF(AND(A114&gt;0,A114&lt;=2),Drivers!C16/2,0)</f>
        <v>0</v>
      </c>
      <c r="H114" s="14">
        <f>IF(A114=(Drivers!C19+Drivers!C20),Drivers!C17*(1+Drivers!C21)^(A114/12),0)</f>
        <v>0</v>
      </c>
      <c r="I114" s="14">
        <f>IF(AND(A114&gt;0,A114&lt;=(Drivers!C19+Drivers!C20)),Drivers!C18*(1+Drivers!C23)^(A114/12),0)</f>
        <v>0</v>
      </c>
      <c r="J114" s="14">
        <f t="shared" si="1"/>
        <v>0</v>
      </c>
      <c r="K114" s="12">
        <f>IF(A114&gt;(Drivers!C19+Drivers!C20),MIN(1,0.5+0.5*(A114-(Drivers!C19+Drivers!C20))/Drivers!C39),0)</f>
        <v>1</v>
      </c>
      <c r="L114" s="14">
        <f>Drivers!C2*(B114-B113)*Drivers!C24*(1+Drivers!C22)^(A114/12)*Drivers!C25*K114</f>
        <v>724193.3655</v>
      </c>
      <c r="M114" s="14">
        <f>L114*Drivers!C26</f>
        <v>144838.6731</v>
      </c>
      <c r="N114" s="14">
        <f>(L114+M114)*Drivers!C27</f>
        <v>304161.2135</v>
      </c>
      <c r="O114" s="14">
        <f>IF(A114&gt;(Drivers!C19+Drivers!C20),Drivers!C28/12*(1+Drivers!C23)^(A114/12),0)</f>
        <v>480680.5824</v>
      </c>
      <c r="P114" s="14">
        <f>(L114+M114)*Drivers!C29</f>
        <v>34761.28154</v>
      </c>
      <c r="Q114" s="14">
        <f>Drivers!C3*Drivers!C30*(1+Drivers!C22)^(A114/12)*Drivers!C31*(1-Drivers!C32 )*K114</f>
        <v>55158.09684</v>
      </c>
      <c r="R114" s="14">
        <f>IF(A114&gt;(Drivers!C19+Drivers!C20),Drivers!C33/12*(1+Drivers!C23)^(A114/12),0)</f>
        <v>72102.08737</v>
      </c>
      <c r="S114" s="14">
        <f t="shared" si="2"/>
        <v>32484.97058</v>
      </c>
      <c r="T114" s="14">
        <f t="shared" si="6"/>
        <v>976237.8881</v>
      </c>
      <c r="U114" s="14">
        <f>IF(AND(A114&gt;Drivers!C19,A114&lt;=(Drivers!C19+Drivers!C20)),Summary!C31*D114,0)</f>
        <v>0</v>
      </c>
      <c r="V114" s="14">
        <f>IF(A114&lt;=(Drivers!C19+Drivers!C20),(T114+U114/2)*Drivers!C36/12,T114*Drivers!C36/12)</f>
        <v>9355.613094</v>
      </c>
      <c r="W114" s="14">
        <f>IF(A114&gt;(Drivers!C19+Drivers!C20),MIN(T114,MAX(0,Summary!C32/12-V114)),0)</f>
        <v>4969.574028</v>
      </c>
      <c r="X114" s="14">
        <f>IF(A114=(Drivers!C19+1),Summary!C31*Drivers!C38,0)</f>
        <v>0</v>
      </c>
      <c r="Y114" s="14">
        <f t="shared" si="3"/>
        <v>971268.3141</v>
      </c>
      <c r="Z114" s="14">
        <f t="shared" si="4"/>
        <v>18159.78346</v>
      </c>
      <c r="AA114" s="14">
        <f t="shared" si="7"/>
        <v>-109435053.8</v>
      </c>
      <c r="AB114" s="14">
        <f t="shared" si="5"/>
        <v>32484.97058</v>
      </c>
      <c r="AC114" s="14">
        <f>(E114+F114+G114+H114)*Drivers!C45</f>
        <v>0</v>
      </c>
      <c r="AD114" s="14">
        <f>IF(A114&lt;=Summary!C18,AB114+IF(A114=Summary!C18,Summary!C40,0),0)</f>
        <v>32484.97058</v>
      </c>
      <c r="AE114" s="14">
        <f>IF(A114&lt;=Summary!C18,Z114+IF(A114=Summary!C18,Summary!C40-Y114,0),0)</f>
        <v>18159.78346</v>
      </c>
      <c r="AF114" s="14">
        <f>AD114-IF(A114=0,Drivers!C44,0)</f>
        <v>32484.97058</v>
      </c>
      <c r="AG114" s="14">
        <f t="shared" si="8"/>
        <v>-109534402.9</v>
      </c>
    </row>
    <row r="115">
      <c r="A115" s="2">
        <v>113.0</v>
      </c>
      <c r="B115" s="15">
        <f>EDATE(Setup!B2,A115)</f>
        <v>49719</v>
      </c>
      <c r="C115" s="2" t="str">
        <f>IF(A115=0,"T0",IF(A115&lt;=Drivers!C19,"Preconstruction",IF(A115&lt;=(Drivers!C19+Drivers!C20),"Construction","Trading")))</f>
        <v>Trading</v>
      </c>
      <c r="D115" s="12">
        <f t="array" ref="D115">IF(AND(A115&gt;Drivers!C19,A115&lt;=(Drivers!C19+Drivers!C20)),SIN(PI()*(A115-Drivers!C19-0.5)/Drivers!C20)/SUMPRODUCT(SIN(PI()*(SEQUENCE(Drivers!C20,1)-0.5)/Drivers!C20)),0)</f>
        <v>0</v>
      </c>
      <c r="E115" s="14">
        <f>(Summary!C10+Summary!C12)*D115*(1+Drivers!C21)^(A115/12)</f>
        <v>0</v>
      </c>
      <c r="F115" s="14">
        <f>IF(AND(A115&gt;0,A115&lt;=Drivers!C19),Summary!C11*Drivers!C40/Drivers!C19*(1+Drivers!C21)^(A115/12),Summary!C11*(1-Drivers!C40 )*D115*(1+Drivers!C21)^(A115/12))</f>
        <v>0</v>
      </c>
      <c r="G115" s="14">
        <f>IF(AND(A115&gt;0,A115&lt;=2),Drivers!C16/2,0)</f>
        <v>0</v>
      </c>
      <c r="H115" s="14">
        <f>IF(A115=(Drivers!C19+Drivers!C20),Drivers!C17*(1+Drivers!C21)^(A115/12),0)</f>
        <v>0</v>
      </c>
      <c r="I115" s="14">
        <f>IF(AND(A115&gt;0,A115&lt;=(Drivers!C19+Drivers!C20)),Drivers!C18*(1+Drivers!C23)^(A115/12),0)</f>
        <v>0</v>
      </c>
      <c r="J115" s="14">
        <f t="shared" si="1"/>
        <v>0</v>
      </c>
      <c r="K115" s="12">
        <f>IF(A115&gt;(Drivers!C19+Drivers!C20),MIN(1,0.5+0.5*(A115-(Drivers!C19+Drivers!C20))/Drivers!C39),0)</f>
        <v>1</v>
      </c>
      <c r="L115" s="14">
        <f>Drivers!C2*(B115-B114)*Drivers!C24*(1+Drivers!C22)^(A115/12)*Drivers!C25*K115</f>
        <v>726564.1861</v>
      </c>
      <c r="M115" s="14">
        <f>L115*Drivers!C26</f>
        <v>145312.8372</v>
      </c>
      <c r="N115" s="14">
        <f>(L115+M115)*Drivers!C27</f>
        <v>305156.9582</v>
      </c>
      <c r="O115" s="14">
        <f>IF(A115&gt;(Drivers!C19+Drivers!C20),Drivers!C28/12*(1+Drivers!C23)^(A115/12),0)</f>
        <v>482254.2056</v>
      </c>
      <c r="P115" s="14">
        <f>(L115+M115)*Drivers!C29</f>
        <v>34875.08093</v>
      </c>
      <c r="Q115" s="14">
        <f>Drivers!C3*Drivers!C30*(1+Drivers!C22)^(A115/12)*Drivers!C31*(1-Drivers!C32 )*K115</f>
        <v>55338.67009</v>
      </c>
      <c r="R115" s="14">
        <f>IF(A115&gt;(Drivers!C19+Drivers!C20),Drivers!C33/12*(1+Drivers!C23)^(A115/12),0)</f>
        <v>72338.13084</v>
      </c>
      <c r="S115" s="14">
        <f t="shared" si="2"/>
        <v>32591.31792</v>
      </c>
      <c r="T115" s="14">
        <f t="shared" si="6"/>
        <v>971268.3141</v>
      </c>
      <c r="U115" s="14">
        <f>IF(AND(A115&gt;Drivers!C19,A115&lt;=(Drivers!C19+Drivers!C20)),Summary!C31*D115,0)</f>
        <v>0</v>
      </c>
      <c r="V115" s="14">
        <f>IF(A115&lt;=(Drivers!C19+Drivers!C20),(T115+U115/2)*Drivers!C36/12,T115*Drivers!C36/12)</f>
        <v>9307.98801</v>
      </c>
      <c r="W115" s="14">
        <f>IF(A115&gt;(Drivers!C19+Drivers!C20),MIN(T115,MAX(0,Summary!C32/12-V115)),0)</f>
        <v>5017.199113</v>
      </c>
      <c r="X115" s="14">
        <f>IF(A115=(Drivers!C19+1),Summary!C31*Drivers!C38,0)</f>
        <v>0</v>
      </c>
      <c r="Y115" s="14">
        <f t="shared" si="3"/>
        <v>966251.115</v>
      </c>
      <c r="Z115" s="14">
        <f t="shared" si="4"/>
        <v>18266.1308</v>
      </c>
      <c r="AA115" s="14">
        <f t="shared" si="7"/>
        <v>-109416787.7</v>
      </c>
      <c r="AB115" s="14">
        <f t="shared" si="5"/>
        <v>32591.31792</v>
      </c>
      <c r="AC115" s="14">
        <f>(E115+F115+G115+H115)*Drivers!C45</f>
        <v>0</v>
      </c>
      <c r="AD115" s="14">
        <f>IF(A115&lt;=Summary!C18,AB115+IF(A115=Summary!C18,Summary!C40,0),0)</f>
        <v>32591.31792</v>
      </c>
      <c r="AE115" s="14">
        <f>IF(A115&lt;=Summary!C18,Z115+IF(A115=Summary!C18,Summary!C40-Y115,0),0)</f>
        <v>18266.1308</v>
      </c>
      <c r="AF115" s="14">
        <f>AD115-IF(A115=0,Drivers!C44,0)</f>
        <v>32591.31792</v>
      </c>
      <c r="AG115" s="14">
        <f t="shared" si="8"/>
        <v>-109501811.6</v>
      </c>
    </row>
    <row r="116">
      <c r="A116" s="2">
        <v>114.0</v>
      </c>
      <c r="B116" s="15">
        <f>EDATE(Setup!B2,A116)</f>
        <v>49748</v>
      </c>
      <c r="C116" s="2" t="str">
        <f>IF(A116=0,"T0",IF(A116&lt;=Drivers!C19,"Preconstruction",IF(A116&lt;=(Drivers!C19+Drivers!C20),"Construction","Trading")))</f>
        <v>Trading</v>
      </c>
      <c r="D116" s="12">
        <f t="array" ref="D116">IF(AND(A116&gt;Drivers!C19,A116&lt;=(Drivers!C19+Drivers!C20)),SIN(PI()*(A116-Drivers!C19-0.5)/Drivers!C20)/SUMPRODUCT(SIN(PI()*(SEQUENCE(Drivers!C20,1)-0.5)/Drivers!C20)),0)</f>
        <v>0</v>
      </c>
      <c r="E116" s="14">
        <f>(Summary!C10+Summary!C12)*D116*(1+Drivers!C21)^(A116/12)</f>
        <v>0</v>
      </c>
      <c r="F116" s="14">
        <f>IF(AND(A116&gt;0,A116&lt;=Drivers!C19),Summary!C11*Drivers!C40/Drivers!C19*(1+Drivers!C21)^(A116/12),Summary!C11*(1-Drivers!C40 )*D116*(1+Drivers!C21)^(A116/12))</f>
        <v>0</v>
      </c>
      <c r="G116" s="14">
        <f>IF(AND(A116&gt;0,A116&lt;=2),Drivers!C16/2,0)</f>
        <v>0</v>
      </c>
      <c r="H116" s="14">
        <f>IF(A116=(Drivers!C19+Drivers!C20),Drivers!C17*(1+Drivers!C21)^(A116/12),0)</f>
        <v>0</v>
      </c>
      <c r="I116" s="14">
        <f>IF(AND(A116&gt;0,A116&lt;=(Drivers!C19+Drivers!C20)),Drivers!C18*(1+Drivers!C23)^(A116/12),0)</f>
        <v>0</v>
      </c>
      <c r="J116" s="14">
        <f t="shared" si="1"/>
        <v>0</v>
      </c>
      <c r="K116" s="12">
        <f>IF(A116&gt;(Drivers!C19+Drivers!C20),MIN(1,0.5+0.5*(A116-(Drivers!C19+Drivers!C20))/Drivers!C39),0)</f>
        <v>1</v>
      </c>
      <c r="L116" s="14">
        <f>Drivers!C2*(B116-B115)*Drivers!C24*(1+Drivers!C22)^(A116/12)*Drivers!C25*K116</f>
        <v>681914.2025</v>
      </c>
      <c r="M116" s="14">
        <f>L116*Drivers!C26</f>
        <v>136382.8405</v>
      </c>
      <c r="N116" s="14">
        <f>(L116+M116)*Drivers!C27</f>
        <v>286403.9651</v>
      </c>
      <c r="O116" s="14">
        <f>IF(A116&gt;(Drivers!C19+Drivers!C20),Drivers!C28/12*(1+Drivers!C23)^(A116/12),0)</f>
        <v>483832.9804</v>
      </c>
      <c r="P116" s="14">
        <f>(L116+M116)*Drivers!C29</f>
        <v>32731.88172</v>
      </c>
      <c r="Q116" s="14">
        <f>Drivers!C3*Drivers!C30*(1+Drivers!C22)^(A116/12)*Drivers!C31*(1-Drivers!C32 )*K116</f>
        <v>55519.8345</v>
      </c>
      <c r="R116" s="14">
        <f>IF(A116&gt;(Drivers!C19+Drivers!C20),Drivers!C33/12*(1+Drivers!C23)^(A116/12),0)</f>
        <v>72574.94705</v>
      </c>
      <c r="S116" s="14">
        <f t="shared" si="2"/>
        <v>-1726.896674</v>
      </c>
      <c r="T116" s="14">
        <f t="shared" si="6"/>
        <v>966251.115</v>
      </c>
      <c r="U116" s="14">
        <f>IF(AND(A116&gt;Drivers!C19,A116&lt;=(Drivers!C19+Drivers!C20)),Summary!C31*D116,0)</f>
        <v>0</v>
      </c>
      <c r="V116" s="14">
        <f>IF(A116&lt;=(Drivers!C19+Drivers!C20),(T116+U116/2)*Drivers!C36/12,T116*Drivers!C36/12)</f>
        <v>9259.906519</v>
      </c>
      <c r="W116" s="14">
        <f>IF(A116&gt;(Drivers!C19+Drivers!C20),MIN(T116,MAX(0,Summary!C32/12-V116)),0)</f>
        <v>5065.280604</v>
      </c>
      <c r="X116" s="14">
        <f>IF(A116=(Drivers!C19+1),Summary!C31*Drivers!C38,0)</f>
        <v>0</v>
      </c>
      <c r="Y116" s="14">
        <f t="shared" si="3"/>
        <v>961185.8344</v>
      </c>
      <c r="Z116" s="14">
        <f t="shared" si="4"/>
        <v>-16052.0838</v>
      </c>
      <c r="AA116" s="14">
        <f t="shared" si="7"/>
        <v>-109432839.8</v>
      </c>
      <c r="AB116" s="14">
        <f t="shared" si="5"/>
        <v>-1726.896674</v>
      </c>
      <c r="AC116" s="14">
        <f>(E116+F116+G116+H116)*Drivers!C45</f>
        <v>0</v>
      </c>
      <c r="AD116" s="14">
        <f>IF(A116&lt;=Summary!C18,AB116+IF(A116=Summary!C18,Summary!C40,0),0)</f>
        <v>-1726.896674</v>
      </c>
      <c r="AE116" s="14">
        <f>IF(A116&lt;=Summary!C18,Z116+IF(A116=Summary!C18,Summary!C40-Y116,0),0)</f>
        <v>-16052.0838</v>
      </c>
      <c r="AF116" s="14">
        <f>AD116-IF(A116=0,Drivers!C44,0)</f>
        <v>-1726.896674</v>
      </c>
      <c r="AG116" s="14">
        <f t="shared" si="8"/>
        <v>-109503538.5</v>
      </c>
    </row>
    <row r="117">
      <c r="A117" s="2">
        <v>115.0</v>
      </c>
      <c r="B117" s="15">
        <f>EDATE(Setup!B2,A117)</f>
        <v>49779</v>
      </c>
      <c r="C117" s="2" t="str">
        <f>IF(A117=0,"T0",IF(A117&lt;=Drivers!C19,"Preconstruction",IF(A117&lt;=(Drivers!C19+Drivers!C20),"Construction","Trading")))</f>
        <v>Trading</v>
      </c>
      <c r="D117" s="12">
        <f t="array" ref="D117">IF(AND(A117&gt;Drivers!C19,A117&lt;=(Drivers!C19+Drivers!C20)),SIN(PI()*(A117-Drivers!C19-0.5)/Drivers!C20)/SUMPRODUCT(SIN(PI()*(SEQUENCE(Drivers!C20,1)-0.5)/Drivers!C20)),0)</f>
        <v>0</v>
      </c>
      <c r="E117" s="14">
        <f>(Summary!C10+Summary!C12)*D117*(1+Drivers!C21)^(A117/12)</f>
        <v>0</v>
      </c>
      <c r="F117" s="14">
        <f>IF(AND(A117&gt;0,A117&lt;=Drivers!C19),Summary!C11*Drivers!C40/Drivers!C19*(1+Drivers!C21)^(A117/12),Summary!C11*(1-Drivers!C40 )*D117*(1+Drivers!C21)^(A117/12))</f>
        <v>0</v>
      </c>
      <c r="G117" s="14">
        <f>IF(AND(A117&gt;0,A117&lt;=2),Drivers!C16/2,0)</f>
        <v>0</v>
      </c>
      <c r="H117" s="14">
        <f>IF(A117=(Drivers!C19+Drivers!C20),Drivers!C17*(1+Drivers!C21)^(A117/12),0)</f>
        <v>0</v>
      </c>
      <c r="I117" s="14">
        <f>IF(AND(A117&gt;0,A117&lt;=(Drivers!C19+Drivers!C20)),Drivers!C18*(1+Drivers!C23)^(A117/12),0)</f>
        <v>0</v>
      </c>
      <c r="J117" s="14">
        <f t="shared" si="1"/>
        <v>0</v>
      </c>
      <c r="K117" s="12">
        <f>IF(A117&gt;(Drivers!C19+Drivers!C20),MIN(1,0.5+0.5*(A117-(Drivers!C19+Drivers!C20))/Drivers!C39),0)</f>
        <v>1</v>
      </c>
      <c r="L117" s="14">
        <f>Drivers!C2*(B117-B116)*Drivers!C24*(1+Drivers!C22)^(A117/12)*Drivers!C25*K117</f>
        <v>731329.1372</v>
      </c>
      <c r="M117" s="14">
        <f>L117*Drivers!C26</f>
        <v>146265.8274</v>
      </c>
      <c r="N117" s="14">
        <f>(L117+M117)*Drivers!C27</f>
        <v>307158.2376</v>
      </c>
      <c r="O117" s="14">
        <f>IF(A117&gt;(Drivers!C19+Drivers!C20),Drivers!C28/12*(1+Drivers!C23)^(A117/12),0)</f>
        <v>485416.9236</v>
      </c>
      <c r="P117" s="14">
        <f>(L117+M117)*Drivers!C29</f>
        <v>35103.79858</v>
      </c>
      <c r="Q117" s="14">
        <f>Drivers!C3*Drivers!C30*(1+Drivers!C22)^(A117/12)*Drivers!C31*(1-Drivers!C32 )*K117</f>
        <v>55701.59199</v>
      </c>
      <c r="R117" s="14">
        <f>IF(A117&gt;(Drivers!C19+Drivers!C20),Drivers!C33/12*(1+Drivers!C23)^(A117/12),0)</f>
        <v>72812.53855</v>
      </c>
      <c r="S117" s="14">
        <f t="shared" si="2"/>
        <v>32805.0582</v>
      </c>
      <c r="T117" s="14">
        <f t="shared" si="6"/>
        <v>961185.8344</v>
      </c>
      <c r="U117" s="14">
        <f>IF(AND(A117&gt;Drivers!C19,A117&lt;=(Drivers!C19+Drivers!C20)),Summary!C31*D117,0)</f>
        <v>0</v>
      </c>
      <c r="V117" s="14">
        <f>IF(A117&lt;=(Drivers!C19+Drivers!C20),(T117+U117/2)*Drivers!C36/12,T117*Drivers!C36/12)</f>
        <v>9211.364246</v>
      </c>
      <c r="W117" s="14">
        <f>IF(A117&gt;(Drivers!C19+Drivers!C20),MIN(T117,MAX(0,Summary!C32/12-V117)),0)</f>
        <v>5113.822877</v>
      </c>
      <c r="X117" s="14">
        <f>IF(A117=(Drivers!C19+1),Summary!C31*Drivers!C38,0)</f>
        <v>0</v>
      </c>
      <c r="Y117" s="14">
        <f t="shared" si="3"/>
        <v>956072.0115</v>
      </c>
      <c r="Z117" s="14">
        <f t="shared" si="4"/>
        <v>18479.87108</v>
      </c>
      <c r="AA117" s="14">
        <f t="shared" si="7"/>
        <v>-109414359.9</v>
      </c>
      <c r="AB117" s="14">
        <f t="shared" si="5"/>
        <v>32805.0582</v>
      </c>
      <c r="AC117" s="14">
        <f>(E117+F117+G117+H117)*Drivers!C45</f>
        <v>0</v>
      </c>
      <c r="AD117" s="14">
        <f>IF(A117&lt;=Summary!C18,AB117+IF(A117=Summary!C18,Summary!C40,0),0)</f>
        <v>32805.0582</v>
      </c>
      <c r="AE117" s="14">
        <f>IF(A117&lt;=Summary!C18,Z117+IF(A117=Summary!C18,Summary!C40-Y117,0),0)</f>
        <v>18479.87108</v>
      </c>
      <c r="AF117" s="14">
        <f>AD117-IF(A117=0,Drivers!C44,0)</f>
        <v>32805.0582</v>
      </c>
      <c r="AG117" s="14">
        <f t="shared" si="8"/>
        <v>-109470733.4</v>
      </c>
    </row>
    <row r="118">
      <c r="A118" s="2">
        <v>116.0</v>
      </c>
      <c r="B118" s="15">
        <f>EDATE(Setup!B2,A118)</f>
        <v>49809</v>
      </c>
      <c r="C118" s="2" t="str">
        <f>IF(A118=0,"T0",IF(A118&lt;=Drivers!C19,"Preconstruction",IF(A118&lt;=(Drivers!C19+Drivers!C20),"Construction","Trading")))</f>
        <v>Trading</v>
      </c>
      <c r="D118" s="12">
        <f t="array" ref="D118">IF(AND(A118&gt;Drivers!C19,A118&lt;=(Drivers!C19+Drivers!C20)),SIN(PI()*(A118-Drivers!C19-0.5)/Drivers!C20)/SUMPRODUCT(SIN(PI()*(SEQUENCE(Drivers!C20,1)-0.5)/Drivers!C20)),0)</f>
        <v>0</v>
      </c>
      <c r="E118" s="14">
        <f>(Summary!C10+Summary!C12)*D118*(1+Drivers!C21)^(A118/12)</f>
        <v>0</v>
      </c>
      <c r="F118" s="14">
        <f>IF(AND(A118&gt;0,A118&lt;=Drivers!C19),Summary!C11*Drivers!C40/Drivers!C19*(1+Drivers!C21)^(A118/12),Summary!C11*(1-Drivers!C40 )*D118*(1+Drivers!C21)^(A118/12))</f>
        <v>0</v>
      </c>
      <c r="G118" s="14">
        <f>IF(AND(A118&gt;0,A118&lt;=2),Drivers!C16/2,0)</f>
        <v>0</v>
      </c>
      <c r="H118" s="14">
        <f>IF(A118=(Drivers!C19+Drivers!C20),Drivers!C17*(1+Drivers!C21)^(A118/12),0)</f>
        <v>0</v>
      </c>
      <c r="I118" s="14">
        <f>IF(AND(A118&gt;0,A118&lt;=(Drivers!C19+Drivers!C20)),Drivers!C18*(1+Drivers!C23)^(A118/12),0)</f>
        <v>0</v>
      </c>
      <c r="J118" s="14">
        <f t="shared" si="1"/>
        <v>0</v>
      </c>
      <c r="K118" s="12">
        <f>IF(A118&gt;(Drivers!C19+Drivers!C20),MIN(1,0.5+0.5*(A118-(Drivers!C19+Drivers!C20))/Drivers!C39),0)</f>
        <v>1</v>
      </c>
      <c r="L118" s="14">
        <f>Drivers!C2*(B118-B117)*Drivers!C24*(1+Drivers!C22)^(A118/12)*Drivers!C25*K118</f>
        <v>710054.8243</v>
      </c>
      <c r="M118" s="14">
        <f>L118*Drivers!C26</f>
        <v>142010.9649</v>
      </c>
      <c r="N118" s="14">
        <f>(L118+M118)*Drivers!C27</f>
        <v>298223.0262</v>
      </c>
      <c r="O118" s="14">
        <f>IF(A118&gt;(Drivers!C19+Drivers!C20),Drivers!C28/12*(1+Drivers!C23)^(A118/12),0)</f>
        <v>487006.0523</v>
      </c>
      <c r="P118" s="14">
        <f>(L118+M118)*Drivers!C29</f>
        <v>34082.63157</v>
      </c>
      <c r="Q118" s="14">
        <f>Drivers!C3*Drivers!C30*(1+Drivers!C22)^(A118/12)*Drivers!C31*(1-Drivers!C32 )*K118</f>
        <v>55883.94451</v>
      </c>
      <c r="R118" s="14">
        <f>IF(A118&gt;(Drivers!C19+Drivers!C20),Drivers!C33/12*(1+Drivers!C23)^(A118/12),0)</f>
        <v>73050.90785</v>
      </c>
      <c r="S118" s="14">
        <f t="shared" si="2"/>
        <v>15587.11571</v>
      </c>
      <c r="T118" s="14">
        <f t="shared" si="6"/>
        <v>956072.0115</v>
      </c>
      <c r="U118" s="14">
        <f>IF(AND(A118&gt;Drivers!C19,A118&lt;=(Drivers!C19+Drivers!C20)),Summary!C31*D118,0)</f>
        <v>0</v>
      </c>
      <c r="V118" s="14">
        <f>IF(A118&lt;=(Drivers!C19+Drivers!C20),(T118+U118/2)*Drivers!C36/12,T118*Drivers!C36/12)</f>
        <v>9162.356777</v>
      </c>
      <c r="W118" s="14">
        <f>IF(A118&gt;(Drivers!C19+Drivers!C20),MIN(T118,MAX(0,Summary!C32/12-V118)),0)</f>
        <v>5162.830346</v>
      </c>
      <c r="X118" s="14">
        <f>IF(A118=(Drivers!C19+1),Summary!C31*Drivers!C38,0)</f>
        <v>0</v>
      </c>
      <c r="Y118" s="14">
        <f t="shared" si="3"/>
        <v>950909.1811</v>
      </c>
      <c r="Z118" s="14">
        <f t="shared" si="4"/>
        <v>1261.928588</v>
      </c>
      <c r="AA118" s="14">
        <f t="shared" si="7"/>
        <v>-109413098</v>
      </c>
      <c r="AB118" s="14">
        <f t="shared" si="5"/>
        <v>15587.11571</v>
      </c>
      <c r="AC118" s="14">
        <f>(E118+F118+G118+H118)*Drivers!C45</f>
        <v>0</v>
      </c>
      <c r="AD118" s="14">
        <f>IF(A118&lt;=Summary!C18,AB118+IF(A118=Summary!C18,Summary!C40,0),0)</f>
        <v>15587.11571</v>
      </c>
      <c r="AE118" s="14">
        <f>IF(A118&lt;=Summary!C18,Z118+IF(A118=Summary!C18,Summary!C40-Y118,0),0)</f>
        <v>1261.928588</v>
      </c>
      <c r="AF118" s="14">
        <f>AD118-IF(A118=0,Drivers!C44,0)</f>
        <v>15587.11571</v>
      </c>
      <c r="AG118" s="14">
        <f t="shared" si="8"/>
        <v>-109455146.3</v>
      </c>
    </row>
    <row r="119">
      <c r="A119" s="2">
        <v>117.0</v>
      </c>
      <c r="B119" s="15">
        <f>EDATE(Setup!B2,A119)</f>
        <v>49840</v>
      </c>
      <c r="C119" s="2" t="str">
        <f>IF(A119=0,"T0",IF(A119&lt;=Drivers!C19,"Preconstruction",IF(A119&lt;=(Drivers!C19+Drivers!C20),"Construction","Trading")))</f>
        <v>Trading</v>
      </c>
      <c r="D119" s="12">
        <f t="array" ref="D119">IF(AND(A119&gt;Drivers!C19,A119&lt;=(Drivers!C19+Drivers!C20)),SIN(PI()*(A119-Drivers!C19-0.5)/Drivers!C20)/SUMPRODUCT(SIN(PI()*(SEQUENCE(Drivers!C20,1)-0.5)/Drivers!C20)),0)</f>
        <v>0</v>
      </c>
      <c r="E119" s="14">
        <f>(Summary!C10+Summary!C12)*D119*(1+Drivers!C21)^(A119/12)</f>
        <v>0</v>
      </c>
      <c r="F119" s="14">
        <f>IF(AND(A119&gt;0,A119&lt;=Drivers!C19),Summary!C11*Drivers!C40/Drivers!C19*(1+Drivers!C21)^(A119/12),Summary!C11*(1-Drivers!C40 )*D119*(1+Drivers!C21)^(A119/12))</f>
        <v>0</v>
      </c>
      <c r="G119" s="14">
        <f>IF(AND(A119&gt;0,A119&lt;=2),Drivers!C16/2,0)</f>
        <v>0</v>
      </c>
      <c r="H119" s="14">
        <f>IF(A119=(Drivers!C19+Drivers!C20),Drivers!C17*(1+Drivers!C21)^(A119/12),0)</f>
        <v>0</v>
      </c>
      <c r="I119" s="14">
        <f>IF(AND(A119&gt;0,A119&lt;=(Drivers!C19+Drivers!C20)),Drivers!C18*(1+Drivers!C23)^(A119/12),0)</f>
        <v>0</v>
      </c>
      <c r="J119" s="14">
        <f t="shared" si="1"/>
        <v>0</v>
      </c>
      <c r="K119" s="12">
        <f>IF(A119&gt;(Drivers!C19+Drivers!C20),MIN(1,0.5+0.5*(A119-(Drivers!C19+Drivers!C20))/Drivers!C39),0)</f>
        <v>1</v>
      </c>
      <c r="L119" s="14">
        <f>Drivers!C2*(B119-B118)*Drivers!C24*(1+Drivers!C22)^(A119/12)*Drivers!C25*K119</f>
        <v>736125.3377</v>
      </c>
      <c r="M119" s="14">
        <f>L119*Drivers!C26</f>
        <v>147225.0675</v>
      </c>
      <c r="N119" s="14">
        <f>(L119+M119)*Drivers!C27</f>
        <v>309172.6418</v>
      </c>
      <c r="O119" s="14">
        <f>IF(A119&gt;(Drivers!C19+Drivers!C20),Drivers!C28/12*(1+Drivers!C23)^(A119/12),0)</f>
        <v>488600.3834</v>
      </c>
      <c r="P119" s="14">
        <f>(L119+M119)*Drivers!C29</f>
        <v>35334.01621</v>
      </c>
      <c r="Q119" s="14">
        <f>Drivers!C3*Drivers!C30*(1+Drivers!C22)^(A119/12)*Drivers!C31*(1-Drivers!C32 )*K119</f>
        <v>56066.894</v>
      </c>
      <c r="R119" s="14">
        <f>IF(A119&gt;(Drivers!C19+Drivers!C20),Drivers!C33/12*(1+Drivers!C23)^(A119/12),0)</f>
        <v>73290.05751</v>
      </c>
      <c r="S119" s="14">
        <f t="shared" si="2"/>
        <v>33020.20023</v>
      </c>
      <c r="T119" s="14">
        <f t="shared" si="6"/>
        <v>950909.1811</v>
      </c>
      <c r="U119" s="14">
        <f>IF(AND(A119&gt;Drivers!C19,A119&lt;=(Drivers!C19+Drivers!C20)),Summary!C31*D119,0)</f>
        <v>0</v>
      </c>
      <c r="V119" s="14">
        <f>IF(A119&lt;=(Drivers!C19+Drivers!C20),(T119+U119/2)*Drivers!C36/12,T119*Drivers!C36/12)</f>
        <v>9112.879653</v>
      </c>
      <c r="W119" s="14">
        <f>IF(A119&gt;(Drivers!C19+Drivers!C20),MIN(T119,MAX(0,Summary!C32/12-V119)),0)</f>
        <v>5212.30747</v>
      </c>
      <c r="X119" s="14">
        <f>IF(A119=(Drivers!C19+1),Summary!C31*Drivers!C38,0)</f>
        <v>0</v>
      </c>
      <c r="Y119" s="14">
        <f t="shared" si="3"/>
        <v>945696.8737</v>
      </c>
      <c r="Z119" s="14">
        <f t="shared" si="4"/>
        <v>18695.01311</v>
      </c>
      <c r="AA119" s="14">
        <f t="shared" si="7"/>
        <v>-109394403</v>
      </c>
      <c r="AB119" s="14">
        <f t="shared" si="5"/>
        <v>33020.20023</v>
      </c>
      <c r="AC119" s="14">
        <f>(E119+F119+G119+H119)*Drivers!C45</f>
        <v>0</v>
      </c>
      <c r="AD119" s="14">
        <f>IF(A119&lt;=Summary!C18,AB119+IF(A119=Summary!C18,Summary!C40,0),0)</f>
        <v>33020.20023</v>
      </c>
      <c r="AE119" s="14">
        <f>IF(A119&lt;=Summary!C18,Z119+IF(A119=Summary!C18,Summary!C40-Y119,0),0)</f>
        <v>18695.01311</v>
      </c>
      <c r="AF119" s="14">
        <f>AD119-IF(A119=0,Drivers!C44,0)</f>
        <v>33020.20023</v>
      </c>
      <c r="AG119" s="14">
        <f t="shared" si="8"/>
        <v>-109422126.1</v>
      </c>
    </row>
    <row r="120">
      <c r="A120" s="2">
        <v>118.0</v>
      </c>
      <c r="B120" s="15">
        <f>EDATE(Setup!B2,A120)</f>
        <v>49870</v>
      </c>
      <c r="C120" s="2" t="str">
        <f>IF(A120=0,"T0",IF(A120&lt;=Drivers!C19,"Preconstruction",IF(A120&lt;=(Drivers!C19+Drivers!C20),"Construction","Trading")))</f>
        <v>Trading</v>
      </c>
      <c r="D120" s="12">
        <f t="array" ref="D120">IF(AND(A120&gt;Drivers!C19,A120&lt;=(Drivers!C19+Drivers!C20)),SIN(PI()*(A120-Drivers!C19-0.5)/Drivers!C20)/SUMPRODUCT(SIN(PI()*(SEQUENCE(Drivers!C20,1)-0.5)/Drivers!C20)),0)</f>
        <v>0</v>
      </c>
      <c r="E120" s="14">
        <f>(Summary!C10+Summary!C12)*D120*(1+Drivers!C21)^(A120/12)</f>
        <v>0</v>
      </c>
      <c r="F120" s="14">
        <f>IF(AND(A120&gt;0,A120&lt;=Drivers!C19),Summary!C11*Drivers!C40/Drivers!C19*(1+Drivers!C21)^(A120/12),Summary!C11*(1-Drivers!C40 )*D120*(1+Drivers!C21)^(A120/12))</f>
        <v>0</v>
      </c>
      <c r="G120" s="14">
        <f>IF(AND(A120&gt;0,A120&lt;=2),Drivers!C16/2,0)</f>
        <v>0</v>
      </c>
      <c r="H120" s="14">
        <f>IF(A120=(Drivers!C19+Drivers!C20),Drivers!C17*(1+Drivers!C21)^(A120/12),0)</f>
        <v>0</v>
      </c>
      <c r="I120" s="14">
        <f>IF(AND(A120&gt;0,A120&lt;=(Drivers!C19+Drivers!C20)),Drivers!C18*(1+Drivers!C23)^(A120/12),0)</f>
        <v>0</v>
      </c>
      <c r="J120" s="14">
        <f t="shared" si="1"/>
        <v>0</v>
      </c>
      <c r="K120" s="12">
        <f>IF(A120&gt;(Drivers!C19+Drivers!C20),MIN(1,0.5+0.5*(A120-(Drivers!C19+Drivers!C20))/Drivers!C39),0)</f>
        <v>1</v>
      </c>
      <c r="L120" s="14">
        <f>Drivers!C2*(B120-B119)*Drivers!C24*(1+Drivers!C22)^(A120/12)*Drivers!C25*K120</f>
        <v>714711.5037</v>
      </c>
      <c r="M120" s="14">
        <f>L120*Drivers!C26</f>
        <v>142942.3007</v>
      </c>
      <c r="N120" s="14">
        <f>(L120+M120)*Drivers!C27</f>
        <v>300178.8315</v>
      </c>
      <c r="O120" s="14">
        <f>IF(A120&gt;(Drivers!C19+Drivers!C20),Drivers!C28/12*(1+Drivers!C23)^(A120/12),0)</f>
        <v>490199.9339</v>
      </c>
      <c r="P120" s="14">
        <f>(L120+M120)*Drivers!C29</f>
        <v>34306.15218</v>
      </c>
      <c r="Q120" s="14">
        <f>Drivers!C3*Drivers!C30*(1+Drivers!C22)^(A120/12)*Drivers!C31*(1-Drivers!C32 )*K120</f>
        <v>56250.44242</v>
      </c>
      <c r="R120" s="14">
        <f>IF(A120&gt;(Drivers!C19+Drivers!C20),Drivers!C33/12*(1+Drivers!C23)^(A120/12),0)</f>
        <v>73529.99009</v>
      </c>
      <c r="S120" s="14">
        <f t="shared" si="2"/>
        <v>15689.33909</v>
      </c>
      <c r="T120" s="14">
        <f t="shared" si="6"/>
        <v>945696.8737</v>
      </c>
      <c r="U120" s="14">
        <f>IF(AND(A120&gt;Drivers!C19,A120&lt;=(Drivers!C19+Drivers!C20)),Summary!C31*D120,0)</f>
        <v>0</v>
      </c>
      <c r="V120" s="14">
        <f>IF(A120&lt;=(Drivers!C19+Drivers!C20),(T120+U120/2)*Drivers!C36/12,T120*Drivers!C36/12)</f>
        <v>9062.928373</v>
      </c>
      <c r="W120" s="14">
        <f>IF(A120&gt;(Drivers!C19+Drivers!C20),MIN(T120,MAX(0,Summary!C32/12-V120)),0)</f>
        <v>5262.25875</v>
      </c>
      <c r="X120" s="14">
        <f>IF(A120=(Drivers!C19+1),Summary!C31*Drivers!C38,0)</f>
        <v>0</v>
      </c>
      <c r="Y120" s="14">
        <f t="shared" si="3"/>
        <v>940434.6149</v>
      </c>
      <c r="Z120" s="14">
        <f t="shared" si="4"/>
        <v>1364.151963</v>
      </c>
      <c r="AA120" s="14">
        <f t="shared" si="7"/>
        <v>-109393038.8</v>
      </c>
      <c r="AB120" s="14">
        <f t="shared" si="5"/>
        <v>15689.33909</v>
      </c>
      <c r="AC120" s="14">
        <f>(E120+F120+G120+H120)*Drivers!C45</f>
        <v>0</v>
      </c>
      <c r="AD120" s="14">
        <f>IF(A120&lt;=Summary!C18,AB120+IF(A120=Summary!C18,Summary!C40,0),0)</f>
        <v>15689.33909</v>
      </c>
      <c r="AE120" s="14">
        <f>IF(A120&lt;=Summary!C18,Z120+IF(A120=Summary!C18,Summary!C40-Y120,0),0)</f>
        <v>1364.151963</v>
      </c>
      <c r="AF120" s="14">
        <f>AD120-IF(A120=0,Drivers!C44,0)</f>
        <v>15689.33909</v>
      </c>
      <c r="AG120" s="14">
        <f t="shared" si="8"/>
        <v>-109406436.8</v>
      </c>
    </row>
    <row r="121">
      <c r="A121" s="2">
        <v>119.0</v>
      </c>
      <c r="B121" s="15">
        <f>EDATE(Setup!B2,A121)</f>
        <v>49901</v>
      </c>
      <c r="C121" s="2" t="str">
        <f>IF(A121=0,"T0",IF(A121&lt;=Drivers!C19,"Preconstruction",IF(A121&lt;=(Drivers!C19+Drivers!C20),"Construction","Trading")))</f>
        <v>Trading</v>
      </c>
      <c r="D121" s="12">
        <f t="array" ref="D121">IF(AND(A121&gt;Drivers!C19,A121&lt;=(Drivers!C19+Drivers!C20)),SIN(PI()*(A121-Drivers!C19-0.5)/Drivers!C20)/SUMPRODUCT(SIN(PI()*(SEQUENCE(Drivers!C20,1)-0.5)/Drivers!C20)),0)</f>
        <v>0</v>
      </c>
      <c r="E121" s="14">
        <f>(Summary!C10+Summary!C12)*D121*(1+Drivers!C21)^(A121/12)</f>
        <v>0</v>
      </c>
      <c r="F121" s="14">
        <f>IF(AND(A121&gt;0,A121&lt;=Drivers!C19),Summary!C11*Drivers!C40/Drivers!C19*(1+Drivers!C21)^(A121/12),Summary!C11*(1-Drivers!C40 )*D121*(1+Drivers!C21)^(A121/12))</f>
        <v>0</v>
      </c>
      <c r="G121" s="14">
        <f>IF(AND(A121&gt;0,A121&lt;=2),Drivers!C16/2,0)</f>
        <v>0</v>
      </c>
      <c r="H121" s="14">
        <f>IF(A121=(Drivers!C19+Drivers!C20),Drivers!C17*(1+Drivers!C21)^(A121/12),0)</f>
        <v>0</v>
      </c>
      <c r="I121" s="14">
        <f>IF(AND(A121&gt;0,A121&lt;=(Drivers!C19+Drivers!C20)),Drivers!C18*(1+Drivers!C23)^(A121/12),0)</f>
        <v>0</v>
      </c>
      <c r="J121" s="14">
        <f t="shared" si="1"/>
        <v>0</v>
      </c>
      <c r="K121" s="12">
        <f>IF(A121&gt;(Drivers!C19+Drivers!C20),MIN(1,0.5+0.5*(A121-(Drivers!C19+Drivers!C20))/Drivers!C39),0)</f>
        <v>1</v>
      </c>
      <c r="L121" s="14">
        <f>Drivers!C2*(B121-B120)*Drivers!C24*(1+Drivers!C22)^(A121/12)*Drivers!C25*K121</f>
        <v>740952.9926</v>
      </c>
      <c r="M121" s="14">
        <f>L121*Drivers!C26</f>
        <v>148190.5985</v>
      </c>
      <c r="N121" s="14">
        <f>(L121+M121)*Drivers!C27</f>
        <v>311200.2569</v>
      </c>
      <c r="O121" s="14">
        <f>IF(A121&gt;(Drivers!C19+Drivers!C20),Drivers!C28/12*(1+Drivers!C23)^(A121/12),0)</f>
        <v>491804.721</v>
      </c>
      <c r="P121" s="14">
        <f>(L121+M121)*Drivers!C29</f>
        <v>35565.74364</v>
      </c>
      <c r="Q121" s="14">
        <f>Drivers!C3*Drivers!C30*(1+Drivers!C22)^(A121/12)*Drivers!C31*(1-Drivers!C32 )*K121</f>
        <v>56434.59173</v>
      </c>
      <c r="R121" s="14">
        <f>IF(A121&gt;(Drivers!C19+Drivers!C20),Drivers!C33/12*(1+Drivers!C23)^(A121/12),0)</f>
        <v>73770.70814</v>
      </c>
      <c r="S121" s="14">
        <f t="shared" si="2"/>
        <v>33236.75321</v>
      </c>
      <c r="T121" s="14">
        <f t="shared" si="6"/>
        <v>940434.6149</v>
      </c>
      <c r="U121" s="14">
        <f>IF(AND(A121&gt;Drivers!C19,A121&lt;=(Drivers!C19+Drivers!C20)),Summary!C31*D121,0)</f>
        <v>0</v>
      </c>
      <c r="V121" s="14">
        <f>IF(A121&lt;=(Drivers!C19+Drivers!C20),(T121+U121/2)*Drivers!C36/12,T121*Drivers!C36/12)</f>
        <v>9012.498393</v>
      </c>
      <c r="W121" s="14">
        <f>IF(A121&gt;(Drivers!C19+Drivers!C20),MIN(T121,MAX(0,Summary!C32/12-V121)),0)</f>
        <v>5312.68873</v>
      </c>
      <c r="X121" s="14">
        <f>IF(A121=(Drivers!C19+1),Summary!C31*Drivers!C38,0)</f>
        <v>0</v>
      </c>
      <c r="Y121" s="14">
        <f t="shared" si="3"/>
        <v>935121.9262</v>
      </c>
      <c r="Z121" s="14">
        <f t="shared" si="4"/>
        <v>18911.56609</v>
      </c>
      <c r="AA121" s="14">
        <f t="shared" si="7"/>
        <v>-109374127.3</v>
      </c>
      <c r="AB121" s="14">
        <f t="shared" si="5"/>
        <v>33236.75321</v>
      </c>
      <c r="AC121" s="14">
        <f>(E121+F121+G121+H121)*Drivers!C45</f>
        <v>0</v>
      </c>
      <c r="AD121" s="14">
        <f>IF(A121&lt;=Summary!C18,AB121+IF(A121=Summary!C18,Summary!C40,0),0)</f>
        <v>33236.75321</v>
      </c>
      <c r="AE121" s="14">
        <f>IF(A121&lt;=Summary!C18,Z121+IF(A121=Summary!C18,Summary!C40-Y121,0),0)</f>
        <v>18911.56609</v>
      </c>
      <c r="AF121" s="14">
        <f>AD121-IF(A121=0,Drivers!C44,0)</f>
        <v>33236.75321</v>
      </c>
      <c r="AG121" s="14">
        <f t="shared" si="8"/>
        <v>-109373200</v>
      </c>
    </row>
    <row r="122">
      <c r="A122" s="2">
        <v>120.0</v>
      </c>
      <c r="B122" s="15">
        <f>EDATE(Setup!B2,A122)</f>
        <v>49932</v>
      </c>
      <c r="C122" s="2" t="str">
        <f>IF(A122=0,"T0",IF(A122&lt;=Drivers!C19,"Preconstruction",IF(A122&lt;=(Drivers!C19+Drivers!C20),"Construction","Trading")))</f>
        <v>Trading</v>
      </c>
      <c r="D122" s="12">
        <f t="array" ref="D122">IF(AND(A122&gt;Drivers!C19,A122&lt;=(Drivers!C19+Drivers!C20)),SIN(PI()*(A122-Drivers!C19-0.5)/Drivers!C20)/SUMPRODUCT(SIN(PI()*(SEQUENCE(Drivers!C20,1)-0.5)/Drivers!C20)),0)</f>
        <v>0</v>
      </c>
      <c r="E122" s="14">
        <f>(Summary!C10+Summary!C12)*D122*(1+Drivers!C21)^(A122/12)</f>
        <v>0</v>
      </c>
      <c r="F122" s="14">
        <f>IF(AND(A122&gt;0,A122&lt;=Drivers!C19),Summary!C11*Drivers!C40/Drivers!C19*(1+Drivers!C21)^(A122/12),Summary!C11*(1-Drivers!C40 )*D122*(1+Drivers!C21)^(A122/12))</f>
        <v>0</v>
      </c>
      <c r="G122" s="14">
        <f>IF(AND(A122&gt;0,A122&lt;=2),Drivers!C16/2,0)</f>
        <v>0</v>
      </c>
      <c r="H122" s="14">
        <f>IF(A122=(Drivers!C19+Drivers!C20),Drivers!C17*(1+Drivers!C21)^(A122/12),0)</f>
        <v>0</v>
      </c>
      <c r="I122" s="14">
        <f>IF(AND(A122&gt;0,A122&lt;=(Drivers!C19+Drivers!C20)),Drivers!C18*(1+Drivers!C23)^(A122/12),0)</f>
        <v>0</v>
      </c>
      <c r="J122" s="14">
        <f t="shared" si="1"/>
        <v>0</v>
      </c>
      <c r="K122" s="12">
        <f>IF(A122&gt;(Drivers!C19+Drivers!C20),MIN(1,0.5+0.5*(A122-(Drivers!C19+Drivers!C20))/Drivers!C39),0)</f>
        <v>1</v>
      </c>
      <c r="L122" s="14">
        <f>Drivers!C2*(B122-B121)*Drivers!C24*(1+Drivers!C22)^(A122/12)*Drivers!C25*K122</f>
        <v>743378.6799</v>
      </c>
      <c r="M122" s="14">
        <f>L122*Drivers!C26</f>
        <v>148675.736</v>
      </c>
      <c r="N122" s="14">
        <f>(L122+M122)*Drivers!C27</f>
        <v>312219.0456</v>
      </c>
      <c r="O122" s="14">
        <f>IF(A122&gt;(Drivers!C19+Drivers!C20),Drivers!C28/12*(1+Drivers!C23)^(A122/12),0)</f>
        <v>493414.7616</v>
      </c>
      <c r="P122" s="14">
        <f>(L122+M122)*Drivers!C29</f>
        <v>35682.17663</v>
      </c>
      <c r="Q122" s="14">
        <f>Drivers!C3*Drivers!C30*(1+Drivers!C22)^(A122/12)*Drivers!C31*(1-Drivers!C32 )*K122</f>
        <v>56619.3439</v>
      </c>
      <c r="R122" s="14">
        <f>IF(A122&gt;(Drivers!C19+Drivers!C20),Drivers!C33/12*(1+Drivers!C23)^(A122/12),0)</f>
        <v>74012.21425</v>
      </c>
      <c r="S122" s="14">
        <f t="shared" si="2"/>
        <v>33345.56169</v>
      </c>
      <c r="T122" s="14">
        <f t="shared" si="6"/>
        <v>935121.9262</v>
      </c>
      <c r="U122" s="14">
        <f>IF(AND(A122&gt;Drivers!C19,A122&lt;=(Drivers!C19+Drivers!C20)),Summary!C31*D122,0)</f>
        <v>0</v>
      </c>
      <c r="V122" s="14">
        <f>IF(A122&lt;=(Drivers!C19+Drivers!C20),(T122+U122/2)*Drivers!C36/12,T122*Drivers!C36/12)</f>
        <v>8961.585126</v>
      </c>
      <c r="W122" s="14">
        <f>IF(A122&gt;(Drivers!C19+Drivers!C20),MIN(T122,MAX(0,Summary!C32/12-V122)),0)</f>
        <v>5363.601997</v>
      </c>
      <c r="X122" s="14">
        <f>IF(A122=(Drivers!C19+1),Summary!C31*Drivers!C38,0)</f>
        <v>0</v>
      </c>
      <c r="Y122" s="14">
        <f t="shared" si="3"/>
        <v>929758.3242</v>
      </c>
      <c r="Z122" s="14">
        <f t="shared" si="4"/>
        <v>19020.37457</v>
      </c>
      <c r="AA122" s="14">
        <f t="shared" si="7"/>
        <v>-109355106.9</v>
      </c>
      <c r="AB122" s="14">
        <f t="shared" si="5"/>
        <v>33345.56169</v>
      </c>
      <c r="AC122" s="14">
        <f>(E122+F122+G122+H122)*Drivers!C45</f>
        <v>0</v>
      </c>
      <c r="AD122" s="14">
        <f>IF(A122&lt;=Summary!C18,AB122+IF(A122=Summary!C18,Summary!C40,0),0)</f>
        <v>33345.56169</v>
      </c>
      <c r="AE122" s="14">
        <f>IF(A122&lt;=Summary!C18,Z122+IF(A122=Summary!C18,Summary!C40-Y122,0),0)</f>
        <v>19020.37457</v>
      </c>
      <c r="AF122" s="14">
        <f>AD122-IF(A122=0,Drivers!C44,0)</f>
        <v>33345.56169</v>
      </c>
      <c r="AG122" s="14">
        <f t="shared" si="8"/>
        <v>-109339854.4</v>
      </c>
    </row>
    <row r="123">
      <c r="A123" s="2">
        <v>121.0</v>
      </c>
      <c r="B123" s="15">
        <f>EDATE(Setup!B2,A123)</f>
        <v>49962</v>
      </c>
      <c r="C123" s="2" t="str">
        <f>IF(A123=0,"T0",IF(A123&lt;=Drivers!C19,"Preconstruction",IF(A123&lt;=(Drivers!C19+Drivers!C20),"Construction","Trading")))</f>
        <v>Trading</v>
      </c>
      <c r="D123" s="12">
        <f t="array" ref="D123">IF(AND(A123&gt;Drivers!C19,A123&lt;=(Drivers!C19+Drivers!C20)),SIN(PI()*(A123-Drivers!C19-0.5)/Drivers!C20)/SUMPRODUCT(SIN(PI()*(SEQUENCE(Drivers!C20,1)-0.5)/Drivers!C20)),0)</f>
        <v>0</v>
      </c>
      <c r="E123" s="14">
        <f>(Summary!C10+Summary!C12)*D123*(1+Drivers!C21)^(A123/12)</f>
        <v>0</v>
      </c>
      <c r="F123" s="14">
        <f>IF(AND(A123&gt;0,A123&lt;=Drivers!C19),Summary!C11*Drivers!C40/Drivers!C19*(1+Drivers!C21)^(A123/12),Summary!C11*(1-Drivers!C40 )*D123*(1+Drivers!C21)^(A123/12))</f>
        <v>0</v>
      </c>
      <c r="G123" s="14">
        <f>IF(AND(A123&gt;0,A123&lt;=2),Drivers!C16/2,0)</f>
        <v>0</v>
      </c>
      <c r="H123" s="14">
        <f>IF(A123=(Drivers!C19+Drivers!C20),Drivers!C17*(1+Drivers!C21)^(A123/12),0)</f>
        <v>0</v>
      </c>
      <c r="I123" s="14">
        <f>IF(AND(A123&gt;0,A123&lt;=(Drivers!C19+Drivers!C20)),Drivers!C18*(1+Drivers!C23)^(A123/12),0)</f>
        <v>0</v>
      </c>
      <c r="J123" s="14">
        <f t="shared" si="1"/>
        <v>0</v>
      </c>
      <c r="K123" s="12">
        <f>IF(A123&gt;(Drivers!C19+Drivers!C20),MIN(1,0.5+0.5*(A123-(Drivers!C19+Drivers!C20))/Drivers!C39),0)</f>
        <v>1</v>
      </c>
      <c r="L123" s="14">
        <f>Drivers!C2*(B123-B122)*Drivers!C24*(1+Drivers!C22)^(A123/12)*Drivers!C25*K123</f>
        <v>721753.8467</v>
      </c>
      <c r="M123" s="14">
        <f>L123*Drivers!C26</f>
        <v>144350.7693</v>
      </c>
      <c r="N123" s="14">
        <f>(L123+M123)*Drivers!C27</f>
        <v>303136.6156</v>
      </c>
      <c r="O123" s="14">
        <f>IF(A123&gt;(Drivers!C19+Drivers!C20),Drivers!C28/12*(1+Drivers!C23)^(A123/12),0)</f>
        <v>495030.0732</v>
      </c>
      <c r="P123" s="14">
        <f>(L123+M123)*Drivers!C29</f>
        <v>34644.18464</v>
      </c>
      <c r="Q123" s="14">
        <f>Drivers!C3*Drivers!C30*(1+Drivers!C22)^(A123/12)*Drivers!C31*(1-Drivers!C32 )*K123</f>
        <v>56804.7009</v>
      </c>
      <c r="R123" s="14">
        <f>IF(A123&gt;(Drivers!C19+Drivers!C20),Drivers!C33/12*(1+Drivers!C23)^(A123/12),0)</f>
        <v>74254.51098</v>
      </c>
      <c r="S123" s="14">
        <f t="shared" si="2"/>
        <v>15843.93252</v>
      </c>
      <c r="T123" s="14">
        <f t="shared" si="6"/>
        <v>929758.3242</v>
      </c>
      <c r="U123" s="14">
        <f>IF(AND(A123&gt;Drivers!C19,A123&lt;=(Drivers!C19+Drivers!C20)),Summary!C31*D123,0)</f>
        <v>0</v>
      </c>
      <c r="V123" s="14">
        <f>IF(A123&lt;=(Drivers!C19+Drivers!C20),(T123+U123/2)*Drivers!C36/12,T123*Drivers!C36/12)</f>
        <v>8910.18394</v>
      </c>
      <c r="W123" s="14">
        <f>IF(A123&gt;(Drivers!C19+Drivers!C20),MIN(T123,MAX(0,Summary!C32/12-V123)),0)</f>
        <v>5415.003183</v>
      </c>
      <c r="X123" s="14">
        <f>IF(A123=(Drivers!C19+1),Summary!C31*Drivers!C38,0)</f>
        <v>0</v>
      </c>
      <c r="Y123" s="14">
        <f t="shared" si="3"/>
        <v>924343.321</v>
      </c>
      <c r="Z123" s="14">
        <f t="shared" si="4"/>
        <v>1518.745399</v>
      </c>
      <c r="AA123" s="14">
        <f t="shared" si="7"/>
        <v>-109353588.1</v>
      </c>
      <c r="AB123" s="14">
        <f t="shared" si="5"/>
        <v>15843.93252</v>
      </c>
      <c r="AC123" s="14">
        <f>(E123+F123+G123+H123)*Drivers!C45</f>
        <v>0</v>
      </c>
      <c r="AD123" s="14">
        <f>IF(A123&lt;=Summary!C18,AB123+IF(A123=Summary!C18,Summary!C40,0),0)</f>
        <v>15843.93252</v>
      </c>
      <c r="AE123" s="14">
        <f>IF(A123&lt;=Summary!C18,Z123+IF(A123=Summary!C18,Summary!C40-Y123,0),0)</f>
        <v>1518.745399</v>
      </c>
      <c r="AF123" s="14">
        <f>AD123-IF(A123=0,Drivers!C44,0)</f>
        <v>15843.93252</v>
      </c>
      <c r="AG123" s="14">
        <f t="shared" si="8"/>
        <v>-109324010.5</v>
      </c>
    </row>
    <row r="124">
      <c r="A124" s="2">
        <v>122.0</v>
      </c>
      <c r="B124" s="15">
        <f>EDATE(Setup!B2,A124)</f>
        <v>49993</v>
      </c>
      <c r="C124" s="2" t="str">
        <f>IF(A124=0,"T0",IF(A124&lt;=Drivers!C19,"Preconstruction",IF(A124&lt;=(Drivers!C19+Drivers!C20),"Construction","Trading")))</f>
        <v>Trading</v>
      </c>
      <c r="D124" s="12">
        <f t="array" ref="D124">IF(AND(A124&gt;Drivers!C19,A124&lt;=(Drivers!C19+Drivers!C20)),SIN(PI()*(A124-Drivers!C19-0.5)/Drivers!C20)/SUMPRODUCT(SIN(PI()*(SEQUENCE(Drivers!C20,1)-0.5)/Drivers!C20)),0)</f>
        <v>0</v>
      </c>
      <c r="E124" s="14">
        <f>(Summary!C10+Summary!C12)*D124*(1+Drivers!C21)^(A124/12)</f>
        <v>0</v>
      </c>
      <c r="F124" s="14">
        <f>IF(AND(A124&gt;0,A124&lt;=Drivers!C19),Summary!C11*Drivers!C40/Drivers!C19*(1+Drivers!C21)^(A124/12),Summary!C11*(1-Drivers!C40 )*D124*(1+Drivers!C21)^(A124/12))</f>
        <v>0</v>
      </c>
      <c r="G124" s="14">
        <f>IF(AND(A124&gt;0,A124&lt;=2),Drivers!C16/2,0)</f>
        <v>0</v>
      </c>
      <c r="H124" s="14">
        <f>IF(A124=(Drivers!C19+Drivers!C20),Drivers!C17*(1+Drivers!C21)^(A124/12),0)</f>
        <v>0</v>
      </c>
      <c r="I124" s="14">
        <f>IF(AND(A124&gt;0,A124&lt;=(Drivers!C19+Drivers!C20)),Drivers!C18*(1+Drivers!C23)^(A124/12),0)</f>
        <v>0</v>
      </c>
      <c r="J124" s="14">
        <f t="shared" si="1"/>
        <v>0</v>
      </c>
      <c r="K124" s="12">
        <f>IF(A124&gt;(Drivers!C19+Drivers!C20),MIN(1,0.5+0.5*(A124-(Drivers!C19+Drivers!C20))/Drivers!C39),0)</f>
        <v>1</v>
      </c>
      <c r="L124" s="14">
        <f>Drivers!C2*(B124-B123)*Drivers!C24*(1+Drivers!C22)^(A124/12)*Drivers!C25*K124</f>
        <v>748253.9037</v>
      </c>
      <c r="M124" s="14">
        <f>L124*Drivers!C26</f>
        <v>149650.7807</v>
      </c>
      <c r="N124" s="14">
        <f>(L124+M124)*Drivers!C27</f>
        <v>314266.6395</v>
      </c>
      <c r="O124" s="14">
        <f>IF(A124&gt;(Drivers!C19+Drivers!C20),Drivers!C28/12*(1+Drivers!C23)^(A124/12),0)</f>
        <v>496650.6728</v>
      </c>
      <c r="P124" s="14">
        <f>(L124+M124)*Drivers!C29</f>
        <v>35916.18738</v>
      </c>
      <c r="Q124" s="14">
        <f>Drivers!C3*Drivers!C30*(1+Drivers!C22)^(A124/12)*Drivers!C31*(1-Drivers!C32 )*K124</f>
        <v>56990.66471</v>
      </c>
      <c r="R124" s="14">
        <f>IF(A124&gt;(Drivers!C19+Drivers!C20),Drivers!C33/12*(1+Drivers!C23)^(A124/12),0)</f>
        <v>74497.60092</v>
      </c>
      <c r="S124" s="14">
        <f t="shared" si="2"/>
        <v>33564.24845</v>
      </c>
      <c r="T124" s="14">
        <f t="shared" si="6"/>
        <v>924343.321</v>
      </c>
      <c r="U124" s="14">
        <f>IF(AND(A124&gt;Drivers!C19,A124&lt;=(Drivers!C19+Drivers!C20)),Summary!C31*D124,0)</f>
        <v>0</v>
      </c>
      <c r="V124" s="14">
        <f>IF(A124&lt;=(Drivers!C19+Drivers!C20),(T124+U124/2)*Drivers!C36/12,T124*Drivers!C36/12)</f>
        <v>8858.29016</v>
      </c>
      <c r="W124" s="14">
        <f>IF(A124&gt;(Drivers!C19+Drivers!C20),MIN(T124,MAX(0,Summary!C32/12-V124)),0)</f>
        <v>5466.896963</v>
      </c>
      <c r="X124" s="14">
        <f>IF(A124=(Drivers!C19+1),Summary!C31*Drivers!C38,0)</f>
        <v>0</v>
      </c>
      <c r="Y124" s="14">
        <f t="shared" si="3"/>
        <v>918876.4241</v>
      </c>
      <c r="Z124" s="14">
        <f t="shared" si="4"/>
        <v>19239.06133</v>
      </c>
      <c r="AA124" s="14">
        <f t="shared" si="7"/>
        <v>-109334349.1</v>
      </c>
      <c r="AB124" s="14">
        <f t="shared" si="5"/>
        <v>33564.24845</v>
      </c>
      <c r="AC124" s="14">
        <f>(E124+F124+G124+H124)*Drivers!C45</f>
        <v>0</v>
      </c>
      <c r="AD124" s="14">
        <f>IF(A124&lt;=Summary!C18,AB124+IF(A124=Summary!C18,Summary!C40,0),0)</f>
        <v>33564.24845</v>
      </c>
      <c r="AE124" s="14">
        <f>IF(A124&lt;=Summary!C18,Z124+IF(A124=Summary!C18,Summary!C40-Y124,0),0)</f>
        <v>19239.06133</v>
      </c>
      <c r="AF124" s="14">
        <f>AD124-IF(A124=0,Drivers!C44,0)</f>
        <v>33564.24845</v>
      </c>
      <c r="AG124" s="14">
        <f t="shared" si="8"/>
        <v>-109290446.3</v>
      </c>
    </row>
    <row r="125">
      <c r="A125" s="2">
        <v>123.0</v>
      </c>
      <c r="B125" s="15">
        <f>EDATE(Setup!B2,A125)</f>
        <v>50023</v>
      </c>
      <c r="C125" s="2" t="str">
        <f>IF(A125=0,"T0",IF(A125&lt;=Drivers!C19,"Preconstruction",IF(A125&lt;=(Drivers!C19+Drivers!C20),"Construction","Trading")))</f>
        <v>Trading</v>
      </c>
      <c r="D125" s="12">
        <f t="array" ref="D125">IF(AND(A125&gt;Drivers!C19,A125&lt;=(Drivers!C19+Drivers!C20)),SIN(PI()*(A125-Drivers!C19-0.5)/Drivers!C20)/SUMPRODUCT(SIN(PI()*(SEQUENCE(Drivers!C20,1)-0.5)/Drivers!C20)),0)</f>
        <v>0</v>
      </c>
      <c r="E125" s="14">
        <f>(Summary!C10+Summary!C12)*D125*(1+Drivers!C21)^(A125/12)</f>
        <v>0</v>
      </c>
      <c r="F125" s="14">
        <f>IF(AND(A125&gt;0,A125&lt;=Drivers!C19),Summary!C11*Drivers!C40/Drivers!C19*(1+Drivers!C21)^(A125/12),Summary!C11*(1-Drivers!C40 )*D125*(1+Drivers!C21)^(A125/12))</f>
        <v>0</v>
      </c>
      <c r="G125" s="14">
        <f>IF(AND(A125&gt;0,A125&lt;=2),Drivers!C16/2,0)</f>
        <v>0</v>
      </c>
      <c r="H125" s="14">
        <f>IF(A125=(Drivers!C19+Drivers!C20),Drivers!C17*(1+Drivers!C21)^(A125/12),0)</f>
        <v>0</v>
      </c>
      <c r="I125" s="14">
        <f>IF(AND(A125&gt;0,A125&lt;=(Drivers!C19+Drivers!C20)),Drivers!C18*(1+Drivers!C23)^(A125/12),0)</f>
        <v>0</v>
      </c>
      <c r="J125" s="14">
        <f t="shared" si="1"/>
        <v>0</v>
      </c>
      <c r="K125" s="12">
        <f>IF(A125&gt;(Drivers!C19+Drivers!C20),MIN(1,0.5+0.5*(A125-(Drivers!C19+Drivers!C20))/Drivers!C39),0)</f>
        <v>1</v>
      </c>
      <c r="L125" s="14">
        <f>Drivers!C2*(B125-B124)*Drivers!C24*(1+Drivers!C22)^(A125/12)*Drivers!C25*K125</f>
        <v>726487.2506</v>
      </c>
      <c r="M125" s="14">
        <f>L125*Drivers!C26</f>
        <v>145297.4501</v>
      </c>
      <c r="N125" s="14">
        <f>(L125+M125)*Drivers!C27</f>
        <v>305124.6452</v>
      </c>
      <c r="O125" s="14">
        <f>IF(A125&gt;(Drivers!C19+Drivers!C20),Drivers!C28/12*(1+Drivers!C23)^(A125/12),0)</f>
        <v>498276.5779</v>
      </c>
      <c r="P125" s="14">
        <f>(L125+M125)*Drivers!C29</f>
        <v>34871.38803</v>
      </c>
      <c r="Q125" s="14">
        <f>Drivers!C3*Drivers!C30*(1+Drivers!C22)^(A125/12)*Drivers!C31*(1-Drivers!C32 )*K125</f>
        <v>57177.23731</v>
      </c>
      <c r="R125" s="14">
        <f>IF(A125&gt;(Drivers!C19+Drivers!C20),Drivers!C33/12*(1+Drivers!C23)^(A125/12),0)</f>
        <v>74741.48668</v>
      </c>
      <c r="S125" s="14">
        <f t="shared" si="2"/>
        <v>15947.84015</v>
      </c>
      <c r="T125" s="14">
        <f t="shared" si="6"/>
        <v>918876.4241</v>
      </c>
      <c r="U125" s="14">
        <f>IF(AND(A125&gt;Drivers!C19,A125&lt;=(Drivers!C19+Drivers!C20)),Summary!C31*D125,0)</f>
        <v>0</v>
      </c>
      <c r="V125" s="14">
        <f>IF(A125&lt;=(Drivers!C19+Drivers!C20),(T125+U125/2)*Drivers!C36/12,T125*Drivers!C36/12)</f>
        <v>8805.899064</v>
      </c>
      <c r="W125" s="14">
        <f>IF(A125&gt;(Drivers!C19+Drivers!C20),MIN(T125,MAX(0,Summary!C32/12-V125)),0)</f>
        <v>5519.288059</v>
      </c>
      <c r="X125" s="14">
        <f>IF(A125=(Drivers!C19+1),Summary!C31*Drivers!C38,0)</f>
        <v>0</v>
      </c>
      <c r="Y125" s="14">
        <f t="shared" si="3"/>
        <v>913357.136</v>
      </c>
      <c r="Z125" s="14">
        <f t="shared" si="4"/>
        <v>1622.653029</v>
      </c>
      <c r="AA125" s="14">
        <f t="shared" si="7"/>
        <v>-109332726.4</v>
      </c>
      <c r="AB125" s="14">
        <f t="shared" si="5"/>
        <v>15947.84015</v>
      </c>
      <c r="AC125" s="14">
        <f>(E125+F125+G125+H125)*Drivers!C45</f>
        <v>0</v>
      </c>
      <c r="AD125" s="14">
        <f>IF(A125&lt;=Summary!C18,AB125+IF(A125=Summary!C18,Summary!C40,0),0)</f>
        <v>15947.84015</v>
      </c>
      <c r="AE125" s="14">
        <f>IF(A125&lt;=Summary!C18,Z125+IF(A125=Summary!C18,Summary!C40-Y125,0),0)</f>
        <v>1622.653029</v>
      </c>
      <c r="AF125" s="14">
        <f>AD125-IF(A125=0,Drivers!C44,0)</f>
        <v>15947.84015</v>
      </c>
      <c r="AG125" s="14">
        <f t="shared" si="8"/>
        <v>-109274498.4</v>
      </c>
    </row>
    <row r="126">
      <c r="A126" s="2">
        <v>124.0</v>
      </c>
      <c r="B126" s="15">
        <f>EDATE(Setup!B2,A126)</f>
        <v>50054</v>
      </c>
      <c r="C126" s="2" t="str">
        <f>IF(A126=0,"T0",IF(A126&lt;=Drivers!C19,"Preconstruction",IF(A126&lt;=(Drivers!C19+Drivers!C20),"Construction","Trading")))</f>
        <v>Trading</v>
      </c>
      <c r="D126" s="12">
        <f t="array" ref="D126">IF(AND(A126&gt;Drivers!C19,A126&lt;=(Drivers!C19+Drivers!C20)),SIN(PI()*(A126-Drivers!C19-0.5)/Drivers!C20)/SUMPRODUCT(SIN(PI()*(SEQUENCE(Drivers!C20,1)-0.5)/Drivers!C20)),0)</f>
        <v>0</v>
      </c>
      <c r="E126" s="14">
        <f>(Summary!C10+Summary!C12)*D126*(1+Drivers!C21)^(A126/12)</f>
        <v>0</v>
      </c>
      <c r="F126" s="14">
        <f>IF(AND(A126&gt;0,A126&lt;=Drivers!C19),Summary!C11*Drivers!C40/Drivers!C19*(1+Drivers!C21)^(A126/12),Summary!C11*(1-Drivers!C40 )*D126*(1+Drivers!C21)^(A126/12))</f>
        <v>0</v>
      </c>
      <c r="G126" s="14">
        <f>IF(AND(A126&gt;0,A126&lt;=2),Drivers!C16/2,0)</f>
        <v>0</v>
      </c>
      <c r="H126" s="14">
        <f>IF(A126=(Drivers!C19+Drivers!C20),Drivers!C17*(1+Drivers!C21)^(A126/12),0)</f>
        <v>0</v>
      </c>
      <c r="I126" s="14">
        <f>IF(AND(A126&gt;0,A126&lt;=(Drivers!C19+Drivers!C20)),Drivers!C18*(1+Drivers!C23)^(A126/12),0)</f>
        <v>0</v>
      </c>
      <c r="J126" s="14">
        <f t="shared" si="1"/>
        <v>0</v>
      </c>
      <c r="K126" s="12">
        <f>IF(A126&gt;(Drivers!C19+Drivers!C20),MIN(1,0.5+0.5*(A126-(Drivers!C19+Drivers!C20))/Drivers!C39),0)</f>
        <v>1</v>
      </c>
      <c r="L126" s="14">
        <f>Drivers!C2*(B126-B125)*Drivers!C24*(1+Drivers!C22)^(A126/12)*Drivers!C25*K126</f>
        <v>753161.1001</v>
      </c>
      <c r="M126" s="14">
        <f>L126*Drivers!C26</f>
        <v>150632.22</v>
      </c>
      <c r="N126" s="14">
        <f>(L126+M126)*Drivers!C27</f>
        <v>316327.6621</v>
      </c>
      <c r="O126" s="14">
        <f>IF(A126&gt;(Drivers!C19+Drivers!C20),Drivers!C28/12*(1+Drivers!C23)^(A126/12),0)</f>
        <v>499907.8057</v>
      </c>
      <c r="P126" s="14">
        <f>(L126+M126)*Drivers!C29</f>
        <v>36151.73281</v>
      </c>
      <c r="Q126" s="14">
        <f>Drivers!C3*Drivers!C30*(1+Drivers!C22)^(A126/12)*Drivers!C31*(1-Drivers!C32 )*K126</f>
        <v>57364.42071</v>
      </c>
      <c r="R126" s="14">
        <f>IF(A126&gt;(Drivers!C19+Drivers!C20),Drivers!C33/12*(1+Drivers!C23)^(A126/12),0)</f>
        <v>74986.17086</v>
      </c>
      <c r="S126" s="14">
        <f t="shared" si="2"/>
        <v>33784.3694</v>
      </c>
      <c r="T126" s="14">
        <f t="shared" si="6"/>
        <v>913357.136</v>
      </c>
      <c r="U126" s="14">
        <f>IF(AND(A126&gt;Drivers!C19,A126&lt;=(Drivers!C19+Drivers!C20)),Summary!C31*D126,0)</f>
        <v>0</v>
      </c>
      <c r="V126" s="14">
        <f>IF(A126&lt;=(Drivers!C19+Drivers!C20),(T126+U126/2)*Drivers!C36/12,T126*Drivers!C36/12)</f>
        <v>8753.005887</v>
      </c>
      <c r="W126" s="14">
        <f>IF(A126&gt;(Drivers!C19+Drivers!C20),MIN(T126,MAX(0,Summary!C32/12-V126)),0)</f>
        <v>5572.181236</v>
      </c>
      <c r="X126" s="14">
        <f>IF(A126=(Drivers!C19+1),Summary!C31*Drivers!C38,0)</f>
        <v>0</v>
      </c>
      <c r="Y126" s="14">
        <f t="shared" si="3"/>
        <v>907784.9548</v>
      </c>
      <c r="Z126" s="14">
        <f t="shared" si="4"/>
        <v>19459.18228</v>
      </c>
      <c r="AA126" s="14">
        <f t="shared" si="7"/>
        <v>-109313267.2</v>
      </c>
      <c r="AB126" s="14">
        <f t="shared" si="5"/>
        <v>33784.3694</v>
      </c>
      <c r="AC126" s="14">
        <f>(E126+F126+G126+H126)*Drivers!C45</f>
        <v>0</v>
      </c>
      <c r="AD126" s="14">
        <f>IF(A126&lt;=Summary!C18,AB126+IF(A126=Summary!C18,Summary!C40,0),0)</f>
        <v>33784.3694</v>
      </c>
      <c r="AE126" s="14">
        <f>IF(A126&lt;=Summary!C18,Z126+IF(A126=Summary!C18,Summary!C40-Y126,0),0)</f>
        <v>19459.18228</v>
      </c>
      <c r="AF126" s="14">
        <f>AD126-IF(A126=0,Drivers!C44,0)</f>
        <v>33784.3694</v>
      </c>
      <c r="AG126" s="14">
        <f t="shared" si="8"/>
        <v>-109240714.1</v>
      </c>
    </row>
    <row r="127">
      <c r="A127" s="2">
        <v>125.0</v>
      </c>
      <c r="B127" s="15">
        <f>EDATE(Setup!B2,A127)</f>
        <v>50085</v>
      </c>
      <c r="C127" s="2" t="str">
        <f>IF(A127=0,"T0",IF(A127&lt;=Drivers!C19,"Preconstruction",IF(A127&lt;=(Drivers!C19+Drivers!C20),"Construction","Trading")))</f>
        <v>Trading</v>
      </c>
      <c r="D127" s="12">
        <f t="array" ref="D127">IF(AND(A127&gt;Drivers!C19,A127&lt;=(Drivers!C19+Drivers!C20)),SIN(PI()*(A127-Drivers!C19-0.5)/Drivers!C20)/SUMPRODUCT(SIN(PI()*(SEQUENCE(Drivers!C20,1)-0.5)/Drivers!C20)),0)</f>
        <v>0</v>
      </c>
      <c r="E127" s="14">
        <f>(Summary!C10+Summary!C12)*D127*(1+Drivers!C21)^(A127/12)</f>
        <v>0</v>
      </c>
      <c r="F127" s="14">
        <f>IF(AND(A127&gt;0,A127&lt;=Drivers!C19),Summary!C11*Drivers!C40/Drivers!C19*(1+Drivers!C21)^(A127/12),Summary!C11*(1-Drivers!C40 )*D127*(1+Drivers!C21)^(A127/12))</f>
        <v>0</v>
      </c>
      <c r="G127" s="14">
        <f>IF(AND(A127&gt;0,A127&lt;=2),Drivers!C16/2,0)</f>
        <v>0</v>
      </c>
      <c r="H127" s="14">
        <f>IF(A127=(Drivers!C19+Drivers!C20),Drivers!C17*(1+Drivers!C21)^(A127/12),0)</f>
        <v>0</v>
      </c>
      <c r="I127" s="14">
        <f>IF(AND(A127&gt;0,A127&lt;=(Drivers!C19+Drivers!C20)),Drivers!C18*(1+Drivers!C23)^(A127/12),0)</f>
        <v>0</v>
      </c>
      <c r="J127" s="14">
        <f t="shared" si="1"/>
        <v>0</v>
      </c>
      <c r="K127" s="12">
        <f>IF(A127&gt;(Drivers!C19+Drivers!C20),MIN(1,0.5+0.5*(A127-(Drivers!C19+Drivers!C20))/Drivers!C39),0)</f>
        <v>1</v>
      </c>
      <c r="L127" s="14">
        <f>Drivers!C2*(B127-B126)*Drivers!C24*(1+Drivers!C22)^(A127/12)*Drivers!C25*K127</f>
        <v>755626.7536</v>
      </c>
      <c r="M127" s="14">
        <f>L127*Drivers!C26</f>
        <v>151125.3507</v>
      </c>
      <c r="N127" s="14">
        <f>(L127+M127)*Drivers!C27</f>
        <v>317363.2365</v>
      </c>
      <c r="O127" s="14">
        <f>IF(A127&gt;(Drivers!C19+Drivers!C20),Drivers!C28/12*(1+Drivers!C23)^(A127/12),0)</f>
        <v>501544.3738</v>
      </c>
      <c r="P127" s="14">
        <f>(L127+M127)*Drivers!C29</f>
        <v>36270.08417</v>
      </c>
      <c r="Q127" s="14">
        <f>Drivers!C3*Drivers!C30*(1+Drivers!C22)^(A127/12)*Drivers!C31*(1-Drivers!C32 )*K127</f>
        <v>57552.21689</v>
      </c>
      <c r="R127" s="14">
        <f>IF(A127&gt;(Drivers!C19+Drivers!C20),Drivers!C33/12*(1+Drivers!C23)^(A127/12),0)</f>
        <v>75231.65607</v>
      </c>
      <c r="S127" s="14">
        <f t="shared" si="2"/>
        <v>33894.97064</v>
      </c>
      <c r="T127" s="14">
        <f t="shared" si="6"/>
        <v>907784.9548</v>
      </c>
      <c r="U127" s="14">
        <f>IF(AND(A127&gt;Drivers!C19,A127&lt;=(Drivers!C19+Drivers!C20)),Summary!C31*D127,0)</f>
        <v>0</v>
      </c>
      <c r="V127" s="14">
        <f>IF(A127&lt;=(Drivers!C19+Drivers!C20),(T127+U127/2)*Drivers!C36/12,T127*Drivers!C36/12)</f>
        <v>8699.605816</v>
      </c>
      <c r="W127" s="14">
        <f>IF(A127&gt;(Drivers!C19+Drivers!C20),MIN(T127,MAX(0,Summary!C32/12-V127)),0)</f>
        <v>5625.581306</v>
      </c>
      <c r="X127" s="14">
        <f>IF(A127=(Drivers!C19+1),Summary!C31*Drivers!C38,0)</f>
        <v>0</v>
      </c>
      <c r="Y127" s="14">
        <f t="shared" si="3"/>
        <v>902159.3735</v>
      </c>
      <c r="Z127" s="14">
        <f t="shared" si="4"/>
        <v>19569.78351</v>
      </c>
      <c r="AA127" s="14">
        <f t="shared" si="7"/>
        <v>-109293697.5</v>
      </c>
      <c r="AB127" s="14">
        <f t="shared" si="5"/>
        <v>33894.97064</v>
      </c>
      <c r="AC127" s="14">
        <f>(E127+F127+G127+H127)*Drivers!C45</f>
        <v>0</v>
      </c>
      <c r="AD127" s="14">
        <f>IF(A127&lt;=Summary!C18,AB127+IF(A127=Summary!C18,Summary!C40,0),0)</f>
        <v>33894.97064</v>
      </c>
      <c r="AE127" s="14">
        <f>IF(A127&lt;=Summary!C18,Z127+IF(A127=Summary!C18,Summary!C40-Y127,0),0)</f>
        <v>19569.78351</v>
      </c>
      <c r="AF127" s="14">
        <f>AD127-IF(A127=0,Drivers!C44,0)</f>
        <v>33894.97064</v>
      </c>
      <c r="AG127" s="14">
        <f t="shared" si="8"/>
        <v>-109206819.1</v>
      </c>
    </row>
    <row r="128">
      <c r="A128" s="2">
        <v>126.0</v>
      </c>
      <c r="B128" s="15">
        <f>EDATE(Setup!B2,A128)</f>
        <v>50113</v>
      </c>
      <c r="C128" s="2" t="str">
        <f>IF(A128=0,"T0",IF(A128&lt;=Drivers!C19,"Preconstruction",IF(A128&lt;=(Drivers!C19+Drivers!C20),"Construction","Trading")))</f>
        <v>Trading</v>
      </c>
      <c r="D128" s="12">
        <f t="array" ref="D128">IF(AND(A128&gt;Drivers!C19,A128&lt;=(Drivers!C19+Drivers!C20)),SIN(PI()*(A128-Drivers!C19-0.5)/Drivers!C20)/SUMPRODUCT(SIN(PI()*(SEQUENCE(Drivers!C20,1)-0.5)/Drivers!C20)),0)</f>
        <v>0</v>
      </c>
      <c r="E128" s="14">
        <f>(Summary!C10+Summary!C12)*D128*(1+Drivers!C21)^(A128/12)</f>
        <v>0</v>
      </c>
      <c r="F128" s="14">
        <f>IF(AND(A128&gt;0,A128&lt;=Drivers!C19),Summary!C11*Drivers!C40/Drivers!C19*(1+Drivers!C21)^(A128/12),Summary!C11*(1-Drivers!C40 )*D128*(1+Drivers!C21)^(A128/12))</f>
        <v>0</v>
      </c>
      <c r="G128" s="14">
        <f>IF(AND(A128&gt;0,A128&lt;=2),Drivers!C16/2,0)</f>
        <v>0</v>
      </c>
      <c r="H128" s="14">
        <f>IF(A128=(Drivers!C19+Drivers!C20),Drivers!C17*(1+Drivers!C21)^(A128/12),0)</f>
        <v>0</v>
      </c>
      <c r="I128" s="14">
        <f>IF(AND(A128&gt;0,A128&lt;=(Drivers!C19+Drivers!C20)),Drivers!C18*(1+Drivers!C23)^(A128/12),0)</f>
        <v>0</v>
      </c>
      <c r="J128" s="14">
        <f t="shared" si="1"/>
        <v>0</v>
      </c>
      <c r="K128" s="12">
        <f>IF(A128&gt;(Drivers!C19+Drivers!C20),MIN(1,0.5+0.5*(A128-(Drivers!C19+Drivers!C20))/Drivers!C39),0)</f>
        <v>1</v>
      </c>
      <c r="L128" s="14">
        <f>Drivers!C2*(B128-B127)*Drivers!C24*(1+Drivers!C22)^(A128/12)*Drivers!C25*K128</f>
        <v>684735.9165</v>
      </c>
      <c r="M128" s="14">
        <f>L128*Drivers!C26</f>
        <v>136947.1833</v>
      </c>
      <c r="N128" s="14">
        <f>(L128+M128)*Drivers!C27</f>
        <v>287589.0849</v>
      </c>
      <c r="O128" s="14">
        <f>IF(A128&gt;(Drivers!C19+Drivers!C20),Drivers!C28/12*(1+Drivers!C23)^(A128/12),0)</f>
        <v>503186.2996</v>
      </c>
      <c r="P128" s="14">
        <f>(L128+M128)*Drivers!C29</f>
        <v>32867.32399</v>
      </c>
      <c r="Q128" s="14">
        <f>Drivers!C3*Drivers!C30*(1+Drivers!C22)^(A128/12)*Drivers!C31*(1-Drivers!C32 )*K128</f>
        <v>57740.62788</v>
      </c>
      <c r="R128" s="14">
        <f>IF(A128&gt;(Drivers!C19+Drivers!C20),Drivers!C33/12*(1+Drivers!C23)^(A128/12),0)</f>
        <v>75477.94494</v>
      </c>
      <c r="S128" s="14">
        <f t="shared" si="2"/>
        <v>-19696.92579</v>
      </c>
      <c r="T128" s="14">
        <f t="shared" si="6"/>
        <v>902159.3735</v>
      </c>
      <c r="U128" s="14">
        <f>IF(AND(A128&gt;Drivers!C19,A128&lt;=(Drivers!C19+Drivers!C20)),Summary!C31*D128,0)</f>
        <v>0</v>
      </c>
      <c r="V128" s="14">
        <f>IF(A128&lt;=(Drivers!C19+Drivers!C20),(T128+U128/2)*Drivers!C36/12,T128*Drivers!C36/12)</f>
        <v>8645.693996</v>
      </c>
      <c r="W128" s="14">
        <f>IF(A128&gt;(Drivers!C19+Drivers!C20),MIN(T128,MAX(0,Summary!C32/12-V128)),0)</f>
        <v>5679.493127</v>
      </c>
      <c r="X128" s="14">
        <f>IF(A128=(Drivers!C19+1),Summary!C31*Drivers!C38,0)</f>
        <v>0</v>
      </c>
      <c r="Y128" s="14">
        <f t="shared" si="3"/>
        <v>896479.8803</v>
      </c>
      <c r="Z128" s="14">
        <f t="shared" si="4"/>
        <v>-34022.11291</v>
      </c>
      <c r="AA128" s="14">
        <f t="shared" si="7"/>
        <v>-109327719.6</v>
      </c>
      <c r="AB128" s="14">
        <f t="shared" si="5"/>
        <v>-19696.92579</v>
      </c>
      <c r="AC128" s="14">
        <f>(E128+F128+G128+H128)*Drivers!C45</f>
        <v>0</v>
      </c>
      <c r="AD128" s="14">
        <f>IF(A128&lt;=Summary!C18,AB128+IF(A128=Summary!C18,Summary!C40,0),0)</f>
        <v>-19696.92579</v>
      </c>
      <c r="AE128" s="14">
        <f>IF(A128&lt;=Summary!C18,Z128+IF(A128=Summary!C18,Summary!C40-Y128,0),0)</f>
        <v>-34022.11291</v>
      </c>
      <c r="AF128" s="14">
        <f>AD128-IF(A128=0,Drivers!C44,0)</f>
        <v>-19696.92579</v>
      </c>
      <c r="AG128" s="14">
        <f t="shared" si="8"/>
        <v>-109226516</v>
      </c>
    </row>
    <row r="129">
      <c r="A129" s="2">
        <v>127.0</v>
      </c>
      <c r="B129" s="15">
        <f>EDATE(Setup!B2,A129)</f>
        <v>50144</v>
      </c>
      <c r="C129" s="2" t="str">
        <f>IF(A129=0,"T0",IF(A129&lt;=Drivers!C19,"Preconstruction",IF(A129&lt;=(Drivers!C19+Drivers!C20),"Construction","Trading")))</f>
        <v>Trading</v>
      </c>
      <c r="D129" s="12">
        <f t="array" ref="D129">IF(AND(A129&gt;Drivers!C19,A129&lt;=(Drivers!C19+Drivers!C20)),SIN(PI()*(A129-Drivers!C19-0.5)/Drivers!C20)/SUMPRODUCT(SIN(PI()*(SEQUENCE(Drivers!C20,1)-0.5)/Drivers!C20)),0)</f>
        <v>0</v>
      </c>
      <c r="E129" s="14">
        <f>(Summary!C10+Summary!C12)*D129*(1+Drivers!C21)^(A129/12)</f>
        <v>0</v>
      </c>
      <c r="F129" s="14">
        <f>IF(AND(A129&gt;0,A129&lt;=Drivers!C19),Summary!C11*Drivers!C40/Drivers!C19*(1+Drivers!C21)^(A129/12),Summary!C11*(1-Drivers!C40 )*D129*(1+Drivers!C21)^(A129/12))</f>
        <v>0</v>
      </c>
      <c r="G129" s="14">
        <f>IF(AND(A129&gt;0,A129&lt;=2),Drivers!C16/2,0)</f>
        <v>0</v>
      </c>
      <c r="H129" s="14">
        <f>IF(A129=(Drivers!C19+Drivers!C20),Drivers!C17*(1+Drivers!C21)^(A129/12),0)</f>
        <v>0</v>
      </c>
      <c r="I129" s="14">
        <f>IF(AND(A129&gt;0,A129&lt;=(Drivers!C19+Drivers!C20)),Drivers!C18*(1+Drivers!C23)^(A129/12),0)</f>
        <v>0</v>
      </c>
      <c r="J129" s="14">
        <f t="shared" si="1"/>
        <v>0</v>
      </c>
      <c r="K129" s="12">
        <f>IF(A129&gt;(Drivers!C19+Drivers!C20),MIN(1,0.5+0.5*(A129-(Drivers!C19+Drivers!C20))/Drivers!C39),0)</f>
        <v>1</v>
      </c>
      <c r="L129" s="14">
        <f>Drivers!C2*(B129-B128)*Drivers!C24*(1+Drivers!C22)^(A129/12)*Drivers!C25*K129</f>
        <v>760582.3026</v>
      </c>
      <c r="M129" s="14">
        <f>L129*Drivers!C26</f>
        <v>152116.4605</v>
      </c>
      <c r="N129" s="14">
        <f>(L129+M129)*Drivers!C27</f>
        <v>319444.5671</v>
      </c>
      <c r="O129" s="14">
        <f>IF(A129&gt;(Drivers!C19+Drivers!C20),Drivers!C28/12*(1+Drivers!C23)^(A129/12),0)</f>
        <v>504833.6006</v>
      </c>
      <c r="P129" s="14">
        <f>(L129+M129)*Drivers!C29</f>
        <v>36507.95053</v>
      </c>
      <c r="Q129" s="14">
        <f>Drivers!C3*Drivers!C30*(1+Drivers!C22)^(A129/12)*Drivers!C31*(1-Drivers!C32 )*K129</f>
        <v>57929.65567</v>
      </c>
      <c r="R129" s="14">
        <f>IF(A129&gt;(Drivers!C19+Drivers!C20),Drivers!C33/12*(1+Drivers!C23)^(A129/12),0)</f>
        <v>75725.04009</v>
      </c>
      <c r="S129" s="14">
        <f t="shared" si="2"/>
        <v>34117.26053</v>
      </c>
      <c r="T129" s="14">
        <f t="shared" si="6"/>
        <v>896479.8803</v>
      </c>
      <c r="U129" s="14">
        <f>IF(AND(A129&gt;Drivers!C19,A129&lt;=(Drivers!C19+Drivers!C20)),Summary!C31*D129,0)</f>
        <v>0</v>
      </c>
      <c r="V129" s="14">
        <f>IF(A129&lt;=(Drivers!C19+Drivers!C20),(T129+U129/2)*Drivers!C36/12,T129*Drivers!C36/12)</f>
        <v>8591.26552</v>
      </c>
      <c r="W129" s="14">
        <f>IF(A129&gt;(Drivers!C19+Drivers!C20),MIN(T129,MAX(0,Summary!C32/12-V129)),0)</f>
        <v>5733.921603</v>
      </c>
      <c r="X129" s="14">
        <f>IF(A129=(Drivers!C19+1),Summary!C31*Drivers!C38,0)</f>
        <v>0</v>
      </c>
      <c r="Y129" s="14">
        <f t="shared" si="3"/>
        <v>890745.9587</v>
      </c>
      <c r="Z129" s="14">
        <f t="shared" si="4"/>
        <v>19792.07341</v>
      </c>
      <c r="AA129" s="14">
        <f t="shared" si="7"/>
        <v>-109307927.5</v>
      </c>
      <c r="AB129" s="14">
        <f t="shared" si="5"/>
        <v>34117.26053</v>
      </c>
      <c r="AC129" s="14">
        <f>(E129+F129+G129+H129)*Drivers!C45</f>
        <v>0</v>
      </c>
      <c r="AD129" s="14">
        <f>IF(A129&lt;=Summary!C18,AB129+IF(A129=Summary!C18,Summary!C40,0),0)</f>
        <v>34117.26053</v>
      </c>
      <c r="AE129" s="14">
        <f>IF(A129&lt;=Summary!C18,Z129+IF(A129=Summary!C18,Summary!C40-Y129,0),0)</f>
        <v>19792.07341</v>
      </c>
      <c r="AF129" s="14">
        <f>AD129-IF(A129=0,Drivers!C44,0)</f>
        <v>34117.26053</v>
      </c>
      <c r="AG129" s="14">
        <f t="shared" si="8"/>
        <v>-109192398.8</v>
      </c>
    </row>
    <row r="130">
      <c r="A130" s="2">
        <v>128.0</v>
      </c>
      <c r="B130" s="15">
        <f>EDATE(Setup!B2,A130)</f>
        <v>50174</v>
      </c>
      <c r="C130" s="2" t="str">
        <f>IF(A130=0,"T0",IF(A130&lt;=Drivers!C19,"Preconstruction",IF(A130&lt;=(Drivers!C19+Drivers!C20),"Construction","Trading")))</f>
        <v>Trading</v>
      </c>
      <c r="D130" s="12">
        <f t="array" ref="D130">IF(AND(A130&gt;Drivers!C19,A130&lt;=(Drivers!C19+Drivers!C20)),SIN(PI()*(A130-Drivers!C19-0.5)/Drivers!C20)/SUMPRODUCT(SIN(PI()*(SEQUENCE(Drivers!C20,1)-0.5)/Drivers!C20)),0)</f>
        <v>0</v>
      </c>
      <c r="E130" s="14">
        <f>(Summary!C10+Summary!C12)*D130*(1+Drivers!C21)^(A130/12)</f>
        <v>0</v>
      </c>
      <c r="F130" s="14">
        <f>IF(AND(A130&gt;0,A130&lt;=Drivers!C19),Summary!C11*Drivers!C40/Drivers!C19*(1+Drivers!C21)^(A130/12),Summary!C11*(1-Drivers!C40 )*D130*(1+Drivers!C21)^(A130/12))</f>
        <v>0</v>
      </c>
      <c r="G130" s="14">
        <f>IF(AND(A130&gt;0,A130&lt;=2),Drivers!C16/2,0)</f>
        <v>0</v>
      </c>
      <c r="H130" s="14">
        <f>IF(A130=(Drivers!C19+Drivers!C20),Drivers!C17*(1+Drivers!C21)^(A130/12),0)</f>
        <v>0</v>
      </c>
      <c r="I130" s="14">
        <f>IF(AND(A130&gt;0,A130&lt;=(Drivers!C19+Drivers!C20)),Drivers!C18*(1+Drivers!C23)^(A130/12),0)</f>
        <v>0</v>
      </c>
      <c r="J130" s="14">
        <f t="shared" si="1"/>
        <v>0</v>
      </c>
      <c r="K130" s="12">
        <f>IF(A130&gt;(Drivers!C19+Drivers!C20),MIN(1,0.5+0.5*(A130-(Drivers!C19+Drivers!C20))/Drivers!C39),0)</f>
        <v>1</v>
      </c>
      <c r="L130" s="14">
        <f>Drivers!C2*(B130-B129)*Drivers!C24*(1+Drivers!C22)^(A130/12)*Drivers!C25*K130</f>
        <v>738457.0173</v>
      </c>
      <c r="M130" s="14">
        <f>L130*Drivers!C26</f>
        <v>147691.4035</v>
      </c>
      <c r="N130" s="14">
        <f>(L130+M130)*Drivers!C27</f>
        <v>310151.9473</v>
      </c>
      <c r="O130" s="14">
        <f>IF(A130&gt;(Drivers!C19+Drivers!C20),Drivers!C28/12*(1+Drivers!C23)^(A130/12),0)</f>
        <v>506486.2944</v>
      </c>
      <c r="P130" s="14">
        <f>(L130+M130)*Drivers!C29</f>
        <v>35445.93683</v>
      </c>
      <c r="Q130" s="14">
        <f>Drivers!C3*Drivers!C30*(1+Drivers!C22)^(A130/12)*Drivers!C31*(1-Drivers!C32 )*K130</f>
        <v>58119.30229</v>
      </c>
      <c r="R130" s="14">
        <f>IF(A130&gt;(Drivers!C19+Drivers!C20),Drivers!C33/12*(1+Drivers!C23)^(A130/12),0)</f>
        <v>75972.94416</v>
      </c>
      <c r="S130" s="14">
        <f t="shared" si="2"/>
        <v>16210.60034</v>
      </c>
      <c r="T130" s="14">
        <f t="shared" si="6"/>
        <v>890745.9587</v>
      </c>
      <c r="U130" s="14">
        <f>IF(AND(A130&gt;Drivers!C19,A130&lt;=(Drivers!C19+Drivers!C20)),Summary!C31*D130,0)</f>
        <v>0</v>
      </c>
      <c r="V130" s="14">
        <f>IF(A130&lt;=(Drivers!C19+Drivers!C20),(T130+U130/2)*Drivers!C36/12,T130*Drivers!C36/12)</f>
        <v>8536.315438</v>
      </c>
      <c r="W130" s="14">
        <f>IF(A130&gt;(Drivers!C19+Drivers!C20),MIN(T130,MAX(0,Summary!C32/12-V130)),0)</f>
        <v>5788.871685</v>
      </c>
      <c r="X130" s="14">
        <f>IF(A130=(Drivers!C19+1),Summary!C31*Drivers!C38,0)</f>
        <v>0</v>
      </c>
      <c r="Y130" s="14">
        <f t="shared" si="3"/>
        <v>884957.087</v>
      </c>
      <c r="Z130" s="14">
        <f t="shared" si="4"/>
        <v>1885.413217</v>
      </c>
      <c r="AA130" s="14">
        <f t="shared" si="7"/>
        <v>-109306042.1</v>
      </c>
      <c r="AB130" s="14">
        <f t="shared" si="5"/>
        <v>16210.60034</v>
      </c>
      <c r="AC130" s="14">
        <f>(E130+F130+G130+H130)*Drivers!C45</f>
        <v>0</v>
      </c>
      <c r="AD130" s="14">
        <f>IF(A130&lt;=Summary!C18,AB130+IF(A130=Summary!C18,Summary!C40,0),0)</f>
        <v>16210.60034</v>
      </c>
      <c r="AE130" s="14">
        <f>IF(A130&lt;=Summary!C18,Z130+IF(A130=Summary!C18,Summary!C40-Y130,0),0)</f>
        <v>1885.413217</v>
      </c>
      <c r="AF130" s="14">
        <f>AD130-IF(A130=0,Drivers!C44,0)</f>
        <v>16210.60034</v>
      </c>
      <c r="AG130" s="14">
        <f t="shared" si="8"/>
        <v>-109176188.2</v>
      </c>
    </row>
    <row r="131">
      <c r="A131" s="2">
        <v>129.0</v>
      </c>
      <c r="B131" s="15">
        <f>EDATE(Setup!B2,A131)</f>
        <v>50205</v>
      </c>
      <c r="C131" s="2" t="str">
        <f>IF(A131=0,"T0",IF(A131&lt;=Drivers!C19,"Preconstruction",IF(A131&lt;=(Drivers!C19+Drivers!C20),"Construction","Trading")))</f>
        <v>Trading</v>
      </c>
      <c r="D131" s="12">
        <f t="array" ref="D131">IF(AND(A131&gt;Drivers!C19,A131&lt;=(Drivers!C19+Drivers!C20)),SIN(PI()*(A131-Drivers!C19-0.5)/Drivers!C20)/SUMPRODUCT(SIN(PI()*(SEQUENCE(Drivers!C20,1)-0.5)/Drivers!C20)),0)</f>
        <v>0</v>
      </c>
      <c r="E131" s="14">
        <f>(Summary!C10+Summary!C12)*D131*(1+Drivers!C21)^(A131/12)</f>
        <v>0</v>
      </c>
      <c r="F131" s="14">
        <f>IF(AND(A131&gt;0,A131&lt;=Drivers!C19),Summary!C11*Drivers!C40/Drivers!C19*(1+Drivers!C21)^(A131/12),Summary!C11*(1-Drivers!C40 )*D131*(1+Drivers!C21)^(A131/12))</f>
        <v>0</v>
      </c>
      <c r="G131" s="14">
        <f>IF(AND(A131&gt;0,A131&lt;=2),Drivers!C16/2,0)</f>
        <v>0</v>
      </c>
      <c r="H131" s="14">
        <f>IF(A131=(Drivers!C19+Drivers!C20),Drivers!C17*(1+Drivers!C21)^(A131/12),0)</f>
        <v>0</v>
      </c>
      <c r="I131" s="14">
        <f>IF(AND(A131&gt;0,A131&lt;=(Drivers!C19+Drivers!C20)),Drivers!C18*(1+Drivers!C23)^(A131/12),0)</f>
        <v>0</v>
      </c>
      <c r="J131" s="14">
        <f t="shared" si="1"/>
        <v>0</v>
      </c>
      <c r="K131" s="12">
        <f>IF(A131&gt;(Drivers!C19+Drivers!C20),MIN(1,0.5+0.5*(A131-(Drivers!C19+Drivers!C20))/Drivers!C39),0)</f>
        <v>1</v>
      </c>
      <c r="L131" s="14">
        <f>Drivers!C2*(B131-B130)*Drivers!C24*(1+Drivers!C22)^(A131/12)*Drivers!C25*K131</f>
        <v>765570.3512</v>
      </c>
      <c r="M131" s="14">
        <f>L131*Drivers!C26</f>
        <v>153114.0702</v>
      </c>
      <c r="N131" s="14">
        <f>(L131+M131)*Drivers!C27</f>
        <v>321539.5475</v>
      </c>
      <c r="O131" s="14">
        <f>IF(A131&gt;(Drivers!C19+Drivers!C20),Drivers!C28/12*(1+Drivers!C23)^(A131/12),0)</f>
        <v>508144.3988</v>
      </c>
      <c r="P131" s="14">
        <f>(L131+M131)*Drivers!C29</f>
        <v>36747.37686</v>
      </c>
      <c r="Q131" s="14">
        <f>Drivers!C3*Drivers!C30*(1+Drivers!C22)^(A131/12)*Drivers!C31*(1-Drivers!C32 )*K131</f>
        <v>58309.56976</v>
      </c>
      <c r="R131" s="14">
        <f>IF(A131&gt;(Drivers!C19+Drivers!C20),Drivers!C33/12*(1+Drivers!C23)^(A131/12),0)</f>
        <v>76221.65981</v>
      </c>
      <c r="S131" s="14">
        <f t="shared" si="2"/>
        <v>34341.00824</v>
      </c>
      <c r="T131" s="14">
        <f t="shared" si="6"/>
        <v>884957.087</v>
      </c>
      <c r="U131" s="14">
        <f>IF(AND(A131&gt;Drivers!C19,A131&lt;=(Drivers!C19+Drivers!C20)),Summary!C31*D131,0)</f>
        <v>0</v>
      </c>
      <c r="V131" s="14">
        <f>IF(A131&lt;=(Drivers!C19+Drivers!C20),(T131+U131/2)*Drivers!C36/12,T131*Drivers!C36/12)</f>
        <v>8480.838751</v>
      </c>
      <c r="W131" s="14">
        <f>IF(A131&gt;(Drivers!C19+Drivers!C20),MIN(T131,MAX(0,Summary!C32/12-V131)),0)</f>
        <v>5844.348372</v>
      </c>
      <c r="X131" s="14">
        <f>IF(A131=(Drivers!C19+1),Summary!C31*Drivers!C38,0)</f>
        <v>0</v>
      </c>
      <c r="Y131" s="14">
        <f t="shared" si="3"/>
        <v>879112.7387</v>
      </c>
      <c r="Z131" s="14">
        <f t="shared" si="4"/>
        <v>20015.82112</v>
      </c>
      <c r="AA131" s="14">
        <f t="shared" si="7"/>
        <v>-109286026.3</v>
      </c>
      <c r="AB131" s="14">
        <f t="shared" si="5"/>
        <v>34341.00824</v>
      </c>
      <c r="AC131" s="14">
        <f>(E131+F131+G131+H131)*Drivers!C45</f>
        <v>0</v>
      </c>
      <c r="AD131" s="14">
        <f>IF(A131&lt;=Summary!C18,AB131+IF(A131=Summary!C18,Summary!C40,0),0)</f>
        <v>34341.00824</v>
      </c>
      <c r="AE131" s="14">
        <f>IF(A131&lt;=Summary!C18,Z131+IF(A131=Summary!C18,Summary!C40-Y131,0),0)</f>
        <v>20015.82112</v>
      </c>
      <c r="AF131" s="14">
        <f>AD131-IF(A131=0,Drivers!C44,0)</f>
        <v>34341.00824</v>
      </c>
      <c r="AG131" s="14">
        <f t="shared" si="8"/>
        <v>-109141847.1</v>
      </c>
    </row>
    <row r="132">
      <c r="A132" s="2">
        <v>130.0</v>
      </c>
      <c r="B132" s="15">
        <f>EDATE(Setup!B2,A132)</f>
        <v>50235</v>
      </c>
      <c r="C132" s="2" t="str">
        <f>IF(A132=0,"T0",IF(A132&lt;=Drivers!C19,"Preconstruction",IF(A132&lt;=(Drivers!C19+Drivers!C20),"Construction","Trading")))</f>
        <v>Trading</v>
      </c>
      <c r="D132" s="12">
        <f t="array" ref="D132">IF(AND(A132&gt;Drivers!C19,A132&lt;=(Drivers!C19+Drivers!C20)),SIN(PI()*(A132-Drivers!C19-0.5)/Drivers!C20)/SUMPRODUCT(SIN(PI()*(SEQUENCE(Drivers!C20,1)-0.5)/Drivers!C20)),0)</f>
        <v>0</v>
      </c>
      <c r="E132" s="14">
        <f>(Summary!C10+Summary!C12)*D132*(1+Drivers!C21)^(A132/12)</f>
        <v>0</v>
      </c>
      <c r="F132" s="14">
        <f>IF(AND(A132&gt;0,A132&lt;=Drivers!C19),Summary!C11*Drivers!C40/Drivers!C19*(1+Drivers!C21)^(A132/12),Summary!C11*(1-Drivers!C40 )*D132*(1+Drivers!C21)^(A132/12))</f>
        <v>0</v>
      </c>
      <c r="G132" s="14">
        <f>IF(AND(A132&gt;0,A132&lt;=2),Drivers!C16/2,0)</f>
        <v>0</v>
      </c>
      <c r="H132" s="14">
        <f>IF(A132=(Drivers!C19+Drivers!C20),Drivers!C17*(1+Drivers!C21)^(A132/12),0)</f>
        <v>0</v>
      </c>
      <c r="I132" s="14">
        <f>IF(AND(A132&gt;0,A132&lt;=(Drivers!C19+Drivers!C20)),Drivers!C18*(1+Drivers!C23)^(A132/12),0)</f>
        <v>0</v>
      </c>
      <c r="J132" s="14">
        <f t="shared" si="1"/>
        <v>0</v>
      </c>
      <c r="K132" s="12">
        <f>IF(A132&gt;(Drivers!C19+Drivers!C20),MIN(1,0.5+0.5*(A132-(Drivers!C19+Drivers!C20))/Drivers!C39),0)</f>
        <v>1</v>
      </c>
      <c r="L132" s="14">
        <f>Drivers!C2*(B132-B131)*Drivers!C24*(1+Drivers!C22)^(A132/12)*Drivers!C25*K132</f>
        <v>743299.9638</v>
      </c>
      <c r="M132" s="14">
        <f>L132*Drivers!C26</f>
        <v>148659.9928</v>
      </c>
      <c r="N132" s="14">
        <f>(L132+M132)*Drivers!C27</f>
        <v>312185.9848</v>
      </c>
      <c r="O132" s="14">
        <f>IF(A132&gt;(Drivers!C19+Drivers!C20),Drivers!C28/12*(1+Drivers!C23)^(A132/12),0)</f>
        <v>509807.9313</v>
      </c>
      <c r="P132" s="14">
        <f>(L132+M132)*Drivers!C29</f>
        <v>35678.39826</v>
      </c>
      <c r="Q132" s="14">
        <f>Drivers!C3*Drivers!C30*(1+Drivers!C22)^(A132/12)*Drivers!C31*(1-Drivers!C32 )*K132</f>
        <v>58500.46012</v>
      </c>
      <c r="R132" s="14">
        <f>IF(A132&gt;(Drivers!C19+Drivers!C20),Drivers!C33/12*(1+Drivers!C23)^(A132/12),0)</f>
        <v>76471.18969</v>
      </c>
      <c r="S132" s="14">
        <f t="shared" si="2"/>
        <v>16316.91265</v>
      </c>
      <c r="T132" s="14">
        <f t="shared" si="6"/>
        <v>879112.7387</v>
      </c>
      <c r="U132" s="14">
        <f>IF(AND(A132&gt;Drivers!C19,A132&lt;=(Drivers!C19+Drivers!C20)),Summary!C31*D132,0)</f>
        <v>0</v>
      </c>
      <c r="V132" s="14">
        <f>IF(A132&lt;=(Drivers!C19+Drivers!C20),(T132+U132/2)*Drivers!C36/12,T132*Drivers!C36/12)</f>
        <v>8424.830412</v>
      </c>
      <c r="W132" s="14">
        <f>IF(A132&gt;(Drivers!C19+Drivers!C20),MIN(T132,MAX(0,Summary!C32/12-V132)),0)</f>
        <v>5900.356711</v>
      </c>
      <c r="X132" s="14">
        <f>IF(A132=(Drivers!C19+1),Summary!C31*Drivers!C38,0)</f>
        <v>0</v>
      </c>
      <c r="Y132" s="14">
        <f t="shared" si="3"/>
        <v>873212.382</v>
      </c>
      <c r="Z132" s="14">
        <f t="shared" si="4"/>
        <v>1991.725526</v>
      </c>
      <c r="AA132" s="14">
        <f t="shared" si="7"/>
        <v>-109284034.5</v>
      </c>
      <c r="AB132" s="14">
        <f t="shared" si="5"/>
        <v>16316.91265</v>
      </c>
      <c r="AC132" s="14">
        <f>(E132+F132+G132+H132)*Drivers!C45</f>
        <v>0</v>
      </c>
      <c r="AD132" s="14">
        <f>IF(A132&lt;=Summary!C18,AB132+IF(A132=Summary!C18,Summary!C40,0),0)</f>
        <v>16316.91265</v>
      </c>
      <c r="AE132" s="14">
        <f>IF(A132&lt;=Summary!C18,Z132+IF(A132=Summary!C18,Summary!C40-Y132,0),0)</f>
        <v>1991.725526</v>
      </c>
      <c r="AF132" s="14">
        <f>AD132-IF(A132=0,Drivers!C44,0)</f>
        <v>16316.91265</v>
      </c>
      <c r="AG132" s="14">
        <f t="shared" si="8"/>
        <v>-109125530.2</v>
      </c>
    </row>
    <row r="133">
      <c r="A133" s="2">
        <v>131.0</v>
      </c>
      <c r="B133" s="15">
        <f>EDATE(Setup!B2,A133)</f>
        <v>50266</v>
      </c>
      <c r="C133" s="2" t="str">
        <f>IF(A133=0,"T0",IF(A133&lt;=Drivers!C19,"Preconstruction",IF(A133&lt;=(Drivers!C19+Drivers!C20),"Construction","Trading")))</f>
        <v>Trading</v>
      </c>
      <c r="D133" s="12">
        <f t="array" ref="D133">IF(AND(A133&gt;Drivers!C19,A133&lt;=(Drivers!C19+Drivers!C20)),SIN(PI()*(A133-Drivers!C19-0.5)/Drivers!C20)/SUMPRODUCT(SIN(PI()*(SEQUENCE(Drivers!C20,1)-0.5)/Drivers!C20)),0)</f>
        <v>0</v>
      </c>
      <c r="E133" s="14">
        <f>(Summary!C10+Summary!C12)*D133*(1+Drivers!C21)^(A133/12)</f>
        <v>0</v>
      </c>
      <c r="F133" s="14">
        <f>IF(AND(A133&gt;0,A133&lt;=Drivers!C19),Summary!C11*Drivers!C40/Drivers!C19*(1+Drivers!C21)^(A133/12),Summary!C11*(1-Drivers!C40 )*D133*(1+Drivers!C21)^(A133/12))</f>
        <v>0</v>
      </c>
      <c r="G133" s="14">
        <f>IF(AND(A133&gt;0,A133&lt;=2),Drivers!C16/2,0)</f>
        <v>0</v>
      </c>
      <c r="H133" s="14">
        <f>IF(A133=(Drivers!C19+Drivers!C20),Drivers!C17*(1+Drivers!C21)^(A133/12),0)</f>
        <v>0</v>
      </c>
      <c r="I133" s="14">
        <f>IF(AND(A133&gt;0,A133&lt;=(Drivers!C19+Drivers!C20)),Drivers!C18*(1+Drivers!C23)^(A133/12),0)</f>
        <v>0</v>
      </c>
      <c r="J133" s="14">
        <f t="shared" si="1"/>
        <v>0</v>
      </c>
      <c r="K133" s="12">
        <f>IF(A133&gt;(Drivers!C19+Drivers!C20),MIN(1,0.5+0.5*(A133-(Drivers!C19+Drivers!C20))/Drivers!C39),0)</f>
        <v>1</v>
      </c>
      <c r="L133" s="14">
        <f>Drivers!C2*(B133-B132)*Drivers!C24*(1+Drivers!C22)^(A133/12)*Drivers!C25*K133</f>
        <v>770591.1123</v>
      </c>
      <c r="M133" s="14">
        <f>L133*Drivers!C26</f>
        <v>154118.2225</v>
      </c>
      <c r="N133" s="14">
        <f>(L133+M133)*Drivers!C27</f>
        <v>323648.2672</v>
      </c>
      <c r="O133" s="14">
        <f>IF(A133&gt;(Drivers!C19+Drivers!C20),Drivers!C28/12*(1+Drivers!C23)^(A133/12),0)</f>
        <v>511476.9098</v>
      </c>
      <c r="P133" s="14">
        <f>(L133+M133)*Drivers!C29</f>
        <v>36988.37339</v>
      </c>
      <c r="Q133" s="14">
        <f>Drivers!C3*Drivers!C30*(1+Drivers!C22)^(A133/12)*Drivers!C31*(1-Drivers!C32 )*K133</f>
        <v>58691.9754</v>
      </c>
      <c r="R133" s="14">
        <f>IF(A133&gt;(Drivers!C19+Drivers!C20),Drivers!C33/12*(1+Drivers!C23)^(A133/12),0)</f>
        <v>76721.53647</v>
      </c>
      <c r="S133" s="14">
        <f t="shared" si="2"/>
        <v>34566.22334</v>
      </c>
      <c r="T133" s="14">
        <f t="shared" si="6"/>
        <v>873212.382</v>
      </c>
      <c r="U133" s="14">
        <f>IF(AND(A133&gt;Drivers!C19,A133&lt;=(Drivers!C19+Drivers!C20)),Summary!C31*D133,0)</f>
        <v>0</v>
      </c>
      <c r="V133" s="14">
        <f>IF(A133&lt;=(Drivers!C19+Drivers!C20),(T133+U133/2)*Drivers!C36/12,T133*Drivers!C36/12)</f>
        <v>8368.285327</v>
      </c>
      <c r="W133" s="14">
        <f>IF(A133&gt;(Drivers!C19+Drivers!C20),MIN(T133,MAX(0,Summary!C32/12-V133)),0)</f>
        <v>5956.901796</v>
      </c>
      <c r="X133" s="14">
        <f>IF(A133=(Drivers!C19+1),Summary!C31*Drivers!C38,0)</f>
        <v>0</v>
      </c>
      <c r="Y133" s="14">
        <f t="shared" si="3"/>
        <v>867255.4802</v>
      </c>
      <c r="Z133" s="14">
        <f t="shared" si="4"/>
        <v>20241.03621</v>
      </c>
      <c r="AA133" s="14">
        <f t="shared" si="7"/>
        <v>-109263793.5</v>
      </c>
      <c r="AB133" s="14">
        <f t="shared" si="5"/>
        <v>34566.22334</v>
      </c>
      <c r="AC133" s="14">
        <f>(E133+F133+G133+H133)*Drivers!C45</f>
        <v>0</v>
      </c>
      <c r="AD133" s="14">
        <f>IF(A133&lt;=Summary!C18,AB133+IF(A133=Summary!C18,Summary!C40,0),0)</f>
        <v>34566.22334</v>
      </c>
      <c r="AE133" s="14">
        <f>IF(A133&lt;=Summary!C18,Z133+IF(A133=Summary!C18,Summary!C40-Y133,0),0)</f>
        <v>20241.03621</v>
      </c>
      <c r="AF133" s="14">
        <f>AD133-IF(A133=0,Drivers!C44,0)</f>
        <v>34566.22334</v>
      </c>
      <c r="AG133" s="14">
        <f t="shared" si="8"/>
        <v>-109090964</v>
      </c>
    </row>
    <row r="134">
      <c r="A134" s="2">
        <v>132.0</v>
      </c>
      <c r="B134" s="15">
        <f>EDATE(Setup!B2,A134)</f>
        <v>50297</v>
      </c>
      <c r="C134" s="2" t="str">
        <f>IF(A134=0,"T0",IF(A134&lt;=Drivers!C19,"Preconstruction",IF(A134&lt;=(Drivers!C19+Drivers!C20),"Construction","Trading")))</f>
        <v>Trading</v>
      </c>
      <c r="D134" s="12">
        <f t="array" ref="D134">IF(AND(A134&gt;Drivers!C19,A134&lt;=(Drivers!C19+Drivers!C20)),SIN(PI()*(A134-Drivers!C19-0.5)/Drivers!C20)/SUMPRODUCT(SIN(PI()*(SEQUENCE(Drivers!C20,1)-0.5)/Drivers!C20)),0)</f>
        <v>0</v>
      </c>
      <c r="E134" s="14">
        <f>(Summary!C10+Summary!C12)*D134*(1+Drivers!C21)^(A134/12)</f>
        <v>0</v>
      </c>
      <c r="F134" s="14">
        <f>IF(AND(A134&gt;0,A134&lt;=Drivers!C19),Summary!C11*Drivers!C40/Drivers!C19*(1+Drivers!C21)^(A134/12),Summary!C11*(1-Drivers!C40 )*D134*(1+Drivers!C21)^(A134/12))</f>
        <v>0</v>
      </c>
      <c r="G134" s="14">
        <f>IF(AND(A134&gt;0,A134&lt;=2),Drivers!C16/2,0)</f>
        <v>0</v>
      </c>
      <c r="H134" s="14">
        <f>IF(A134=(Drivers!C19+Drivers!C20),Drivers!C17*(1+Drivers!C21)^(A134/12),0)</f>
        <v>0</v>
      </c>
      <c r="I134" s="14">
        <f>IF(AND(A134&gt;0,A134&lt;=(Drivers!C19+Drivers!C20)),Drivers!C18*(1+Drivers!C23)^(A134/12),0)</f>
        <v>0</v>
      </c>
      <c r="J134" s="14">
        <f t="shared" si="1"/>
        <v>0</v>
      </c>
      <c r="K134" s="12">
        <f>IF(A134&gt;(Drivers!C19+Drivers!C20),MIN(1,0.5+0.5*(A134-(Drivers!C19+Drivers!C20))/Drivers!C39),0)</f>
        <v>1</v>
      </c>
      <c r="L134" s="14">
        <f>Drivers!C2*(B134-B133)*Drivers!C24*(1+Drivers!C22)^(A134/12)*Drivers!C25*K134</f>
        <v>773113.8271</v>
      </c>
      <c r="M134" s="14">
        <f>L134*Drivers!C26</f>
        <v>154622.7654</v>
      </c>
      <c r="N134" s="14">
        <f>(L134+M134)*Drivers!C27</f>
        <v>324707.8074</v>
      </c>
      <c r="O134" s="14">
        <f>IF(A134&gt;(Drivers!C19+Drivers!C20),Drivers!C28/12*(1+Drivers!C23)^(A134/12),0)</f>
        <v>513151.3521</v>
      </c>
      <c r="P134" s="14">
        <f>(L134+M134)*Drivers!C29</f>
        <v>37109.4637</v>
      </c>
      <c r="Q134" s="14">
        <f>Drivers!C3*Drivers!C30*(1+Drivers!C22)^(A134/12)*Drivers!C31*(1-Drivers!C32 )*K134</f>
        <v>58884.11765</v>
      </c>
      <c r="R134" s="14">
        <f>IF(A134&gt;(Drivers!C19+Drivers!C20),Drivers!C33/12*(1+Drivers!C23)^(A134/12),0)</f>
        <v>76972.70282</v>
      </c>
      <c r="S134" s="14">
        <f t="shared" si="2"/>
        <v>34679.38416</v>
      </c>
      <c r="T134" s="14">
        <f t="shared" si="6"/>
        <v>867255.4802</v>
      </c>
      <c r="U134" s="14">
        <f>IF(AND(A134&gt;Drivers!C19,A134&lt;=(Drivers!C19+Drivers!C20)),Summary!C31*D134,0)</f>
        <v>0</v>
      </c>
      <c r="V134" s="14">
        <f>IF(A134&lt;=(Drivers!C19+Drivers!C20),(T134+U134/2)*Drivers!C36/12,T134*Drivers!C36/12)</f>
        <v>8311.198352</v>
      </c>
      <c r="W134" s="14">
        <f>IF(A134&gt;(Drivers!C19+Drivers!C20),MIN(T134,MAX(0,Summary!C32/12-V134)),0)</f>
        <v>6013.988771</v>
      </c>
      <c r="X134" s="14">
        <f>IF(A134=(Drivers!C19+1),Summary!C31*Drivers!C38,0)</f>
        <v>0</v>
      </c>
      <c r="Y134" s="14">
        <f t="shared" si="3"/>
        <v>861241.4914</v>
      </c>
      <c r="Z134" s="14">
        <f t="shared" si="4"/>
        <v>20354.19703</v>
      </c>
      <c r="AA134" s="14">
        <f t="shared" si="7"/>
        <v>-109243439.3</v>
      </c>
      <c r="AB134" s="14">
        <f t="shared" si="5"/>
        <v>34679.38416</v>
      </c>
      <c r="AC134" s="14">
        <f>(E134+F134+G134+H134)*Drivers!C45</f>
        <v>0</v>
      </c>
      <c r="AD134" s="14">
        <f>IF(A134&lt;=Summary!C18,AB134+IF(A134=Summary!C18,Summary!C40,0),0)</f>
        <v>34679.38416</v>
      </c>
      <c r="AE134" s="14">
        <f>IF(A134&lt;=Summary!C18,Z134+IF(A134=Summary!C18,Summary!C40-Y134,0),0)</f>
        <v>20354.19703</v>
      </c>
      <c r="AF134" s="14">
        <f>AD134-IF(A134=0,Drivers!C44,0)</f>
        <v>34679.38416</v>
      </c>
      <c r="AG134" s="14">
        <f t="shared" si="8"/>
        <v>-109056284.6</v>
      </c>
    </row>
    <row r="135">
      <c r="A135" s="2">
        <v>133.0</v>
      </c>
      <c r="B135" s="15">
        <f>EDATE(Setup!B2,A135)</f>
        <v>50327</v>
      </c>
      <c r="C135" s="2" t="str">
        <f>IF(A135=0,"T0",IF(A135&lt;=Drivers!C19,"Preconstruction",IF(A135&lt;=(Drivers!C19+Drivers!C20),"Construction","Trading")))</f>
        <v>Trading</v>
      </c>
      <c r="D135" s="12">
        <f t="array" ref="D135">IF(AND(A135&gt;Drivers!C19,A135&lt;=(Drivers!C19+Drivers!C20)),SIN(PI()*(A135-Drivers!C19-0.5)/Drivers!C20)/SUMPRODUCT(SIN(PI()*(SEQUENCE(Drivers!C20,1)-0.5)/Drivers!C20)),0)</f>
        <v>0</v>
      </c>
      <c r="E135" s="14">
        <f>(Summary!C10+Summary!C12)*D135*(1+Drivers!C21)^(A135/12)</f>
        <v>0</v>
      </c>
      <c r="F135" s="14">
        <f>IF(AND(A135&gt;0,A135&lt;=Drivers!C19),Summary!C11*Drivers!C40/Drivers!C19*(1+Drivers!C21)^(A135/12),Summary!C11*(1-Drivers!C40 )*D135*(1+Drivers!C21)^(A135/12))</f>
        <v>0</v>
      </c>
      <c r="G135" s="14">
        <f>IF(AND(A135&gt;0,A135&lt;=2),Drivers!C16/2,0)</f>
        <v>0</v>
      </c>
      <c r="H135" s="14">
        <f>IF(A135=(Drivers!C19+Drivers!C20),Drivers!C17*(1+Drivers!C21)^(A135/12),0)</f>
        <v>0</v>
      </c>
      <c r="I135" s="14">
        <f>IF(AND(A135&gt;0,A135&lt;=(Drivers!C19+Drivers!C20)),Drivers!C18*(1+Drivers!C23)^(A135/12),0)</f>
        <v>0</v>
      </c>
      <c r="J135" s="14">
        <f t="shared" si="1"/>
        <v>0</v>
      </c>
      <c r="K135" s="12">
        <f>IF(A135&gt;(Drivers!C19+Drivers!C20),MIN(1,0.5+0.5*(A135-(Drivers!C19+Drivers!C20))/Drivers!C39),0)</f>
        <v>1</v>
      </c>
      <c r="L135" s="14">
        <f>Drivers!C2*(B135-B134)*Drivers!C24*(1+Drivers!C22)^(A135/12)*Drivers!C25*K135</f>
        <v>750624.0006</v>
      </c>
      <c r="M135" s="14">
        <f>L135*Drivers!C26</f>
        <v>150124.8001</v>
      </c>
      <c r="N135" s="14">
        <f>(L135+M135)*Drivers!C27</f>
        <v>315262.0802</v>
      </c>
      <c r="O135" s="14">
        <f>IF(A135&gt;(Drivers!C19+Drivers!C20),Drivers!C28/12*(1+Drivers!C23)^(A135/12),0)</f>
        <v>514831.2761</v>
      </c>
      <c r="P135" s="14">
        <f>(L135+M135)*Drivers!C29</f>
        <v>36029.95203</v>
      </c>
      <c r="Q135" s="14">
        <f>Drivers!C3*Drivers!C30*(1+Drivers!C22)^(A135/12)*Drivers!C31*(1-Drivers!C32 )*K135</f>
        <v>59076.88893</v>
      </c>
      <c r="R135" s="14">
        <f>IF(A135&gt;(Drivers!C19+Drivers!C20),Drivers!C33/12*(1+Drivers!C23)^(A135/12),0)</f>
        <v>77224.69142</v>
      </c>
      <c r="S135" s="14">
        <f t="shared" si="2"/>
        <v>16477.68982</v>
      </c>
      <c r="T135" s="14">
        <f t="shared" si="6"/>
        <v>861241.4914</v>
      </c>
      <c r="U135" s="14">
        <f>IF(AND(A135&gt;Drivers!C19,A135&lt;=(Drivers!C19+Drivers!C20)),Summary!C31*D135,0)</f>
        <v>0</v>
      </c>
      <c r="V135" s="14">
        <f>IF(A135&lt;=(Drivers!C19+Drivers!C20),(T135+U135/2)*Drivers!C36/12,T135*Drivers!C36/12)</f>
        <v>8253.564292</v>
      </c>
      <c r="W135" s="14">
        <f>IF(A135&gt;(Drivers!C19+Drivers!C20),MIN(T135,MAX(0,Summary!C32/12-V135)),0)</f>
        <v>6071.62283</v>
      </c>
      <c r="X135" s="14">
        <f>IF(A135=(Drivers!C19+1),Summary!C31*Drivers!C38,0)</f>
        <v>0</v>
      </c>
      <c r="Y135" s="14">
        <f t="shared" si="3"/>
        <v>855169.8686</v>
      </c>
      <c r="Z135" s="14">
        <f t="shared" si="4"/>
        <v>2152.5027</v>
      </c>
      <c r="AA135" s="14">
        <f t="shared" si="7"/>
        <v>-109241286.8</v>
      </c>
      <c r="AB135" s="14">
        <f t="shared" si="5"/>
        <v>16477.68982</v>
      </c>
      <c r="AC135" s="14">
        <f>(E135+F135+G135+H135)*Drivers!C45</f>
        <v>0</v>
      </c>
      <c r="AD135" s="14">
        <f>IF(A135&lt;=Summary!C18,AB135+IF(A135=Summary!C18,Summary!C40,0),0)</f>
        <v>16477.68982</v>
      </c>
      <c r="AE135" s="14">
        <f>IF(A135&lt;=Summary!C18,Z135+IF(A135=Summary!C18,Summary!C40-Y135,0),0)</f>
        <v>2152.5027</v>
      </c>
      <c r="AF135" s="14">
        <f>AD135-IF(A135=0,Drivers!C44,0)</f>
        <v>16477.68982</v>
      </c>
      <c r="AG135" s="14">
        <f t="shared" si="8"/>
        <v>-109039806.9</v>
      </c>
    </row>
    <row r="136">
      <c r="A136" s="2">
        <v>134.0</v>
      </c>
      <c r="B136" s="15">
        <f>EDATE(Setup!B2,A136)</f>
        <v>50358</v>
      </c>
      <c r="C136" s="2" t="str">
        <f>IF(A136=0,"T0",IF(A136&lt;=Drivers!C19,"Preconstruction",IF(A136&lt;=(Drivers!C19+Drivers!C20),"Construction","Trading")))</f>
        <v>Trading</v>
      </c>
      <c r="D136" s="12">
        <f t="array" ref="D136">IF(AND(A136&gt;Drivers!C19,A136&lt;=(Drivers!C19+Drivers!C20)),SIN(PI()*(A136-Drivers!C19-0.5)/Drivers!C20)/SUMPRODUCT(SIN(PI()*(SEQUENCE(Drivers!C20,1)-0.5)/Drivers!C20)),0)</f>
        <v>0</v>
      </c>
      <c r="E136" s="14">
        <f>(Summary!C10+Summary!C12)*D136*(1+Drivers!C21)^(A136/12)</f>
        <v>0</v>
      </c>
      <c r="F136" s="14">
        <f>IF(AND(A136&gt;0,A136&lt;=Drivers!C19),Summary!C11*Drivers!C40/Drivers!C19*(1+Drivers!C21)^(A136/12),Summary!C11*(1-Drivers!C40 )*D136*(1+Drivers!C21)^(A136/12))</f>
        <v>0</v>
      </c>
      <c r="G136" s="14">
        <f>IF(AND(A136&gt;0,A136&lt;=2),Drivers!C16/2,0)</f>
        <v>0</v>
      </c>
      <c r="H136" s="14">
        <f>IF(A136=(Drivers!C19+Drivers!C20),Drivers!C17*(1+Drivers!C21)^(A136/12),0)</f>
        <v>0</v>
      </c>
      <c r="I136" s="14">
        <f>IF(AND(A136&gt;0,A136&lt;=(Drivers!C19+Drivers!C20)),Drivers!C18*(1+Drivers!C23)^(A136/12),0)</f>
        <v>0</v>
      </c>
      <c r="J136" s="14">
        <f t="shared" si="1"/>
        <v>0</v>
      </c>
      <c r="K136" s="12">
        <f>IF(A136&gt;(Drivers!C19+Drivers!C20),MIN(1,0.5+0.5*(A136-(Drivers!C19+Drivers!C20))/Drivers!C39),0)</f>
        <v>1</v>
      </c>
      <c r="L136" s="14">
        <f>Drivers!C2*(B136-B135)*Drivers!C24*(1+Drivers!C22)^(A136/12)*Drivers!C25*K136</f>
        <v>778184.0598</v>
      </c>
      <c r="M136" s="14">
        <f>L136*Drivers!C26</f>
        <v>155636.812</v>
      </c>
      <c r="N136" s="14">
        <f>(L136+M136)*Drivers!C27</f>
        <v>326837.3051</v>
      </c>
      <c r="O136" s="14">
        <f>IF(A136&gt;(Drivers!C19+Drivers!C20),Drivers!C28/12*(1+Drivers!C23)^(A136/12),0)</f>
        <v>516516.6997</v>
      </c>
      <c r="P136" s="14">
        <f>(L136+M136)*Drivers!C29</f>
        <v>37352.83487</v>
      </c>
      <c r="Q136" s="14">
        <f>Drivers!C3*Drivers!C30*(1+Drivers!C22)^(A136/12)*Drivers!C31*(1-Drivers!C32 )*K136</f>
        <v>59270.29129</v>
      </c>
      <c r="R136" s="14">
        <f>IF(A136&gt;(Drivers!C19+Drivers!C20),Drivers!C33/12*(1+Drivers!C23)^(A136/12),0)</f>
        <v>77477.50496</v>
      </c>
      <c r="S136" s="14">
        <f t="shared" si="2"/>
        <v>34906.81839</v>
      </c>
      <c r="T136" s="14">
        <f t="shared" si="6"/>
        <v>855169.8686</v>
      </c>
      <c r="U136" s="14">
        <f>IF(AND(A136&gt;Drivers!C19,A136&lt;=(Drivers!C19+Drivers!C20)),Summary!C31*D136,0)</f>
        <v>0</v>
      </c>
      <c r="V136" s="14">
        <f>IF(A136&lt;=(Drivers!C19+Drivers!C20),(T136+U136/2)*Drivers!C36/12,T136*Drivers!C36/12)</f>
        <v>8195.377907</v>
      </c>
      <c r="W136" s="14">
        <f>IF(A136&gt;(Drivers!C19+Drivers!C20),MIN(T136,MAX(0,Summary!C32/12-V136)),0)</f>
        <v>6129.809216</v>
      </c>
      <c r="X136" s="14">
        <f>IF(A136=(Drivers!C19+1),Summary!C31*Drivers!C38,0)</f>
        <v>0</v>
      </c>
      <c r="Y136" s="14">
        <f t="shared" si="3"/>
        <v>849040.0593</v>
      </c>
      <c r="Z136" s="14">
        <f t="shared" si="4"/>
        <v>20581.63127</v>
      </c>
      <c r="AA136" s="14">
        <f t="shared" si="7"/>
        <v>-109220705.2</v>
      </c>
      <c r="AB136" s="14">
        <f t="shared" si="5"/>
        <v>34906.81839</v>
      </c>
      <c r="AC136" s="14">
        <f>(E136+F136+G136+H136)*Drivers!C45</f>
        <v>0</v>
      </c>
      <c r="AD136" s="14">
        <f>IF(A136&lt;=Summary!C18,AB136+IF(A136=Summary!C18,Summary!C40,0),0)</f>
        <v>34906.81839</v>
      </c>
      <c r="AE136" s="14">
        <f>IF(A136&lt;=Summary!C18,Z136+IF(A136=Summary!C18,Summary!C40-Y136,0),0)</f>
        <v>20581.63127</v>
      </c>
      <c r="AF136" s="14">
        <f>AD136-IF(A136=0,Drivers!C44,0)</f>
        <v>34906.81839</v>
      </c>
      <c r="AG136" s="14">
        <f t="shared" si="8"/>
        <v>-109004900.1</v>
      </c>
    </row>
    <row r="137">
      <c r="A137" s="2">
        <v>135.0</v>
      </c>
      <c r="B137" s="15">
        <f>EDATE(Setup!B2,A137)</f>
        <v>50388</v>
      </c>
      <c r="C137" s="2" t="str">
        <f>IF(A137=0,"T0",IF(A137&lt;=Drivers!C19,"Preconstruction",IF(A137&lt;=(Drivers!C19+Drivers!C20),"Construction","Trading")))</f>
        <v>Trading</v>
      </c>
      <c r="D137" s="12">
        <f t="array" ref="D137">IF(AND(A137&gt;Drivers!C19,A137&lt;=(Drivers!C19+Drivers!C20)),SIN(PI()*(A137-Drivers!C19-0.5)/Drivers!C20)/SUMPRODUCT(SIN(PI()*(SEQUENCE(Drivers!C20,1)-0.5)/Drivers!C20)),0)</f>
        <v>0</v>
      </c>
      <c r="E137" s="14">
        <f>(Summary!C10+Summary!C12)*D137*(1+Drivers!C21)^(A137/12)</f>
        <v>0</v>
      </c>
      <c r="F137" s="14">
        <f>IF(AND(A137&gt;0,A137&lt;=Drivers!C19),Summary!C11*Drivers!C40/Drivers!C19*(1+Drivers!C21)^(A137/12),Summary!C11*(1-Drivers!C40 )*D137*(1+Drivers!C21)^(A137/12))</f>
        <v>0</v>
      </c>
      <c r="G137" s="14">
        <f>IF(AND(A137&gt;0,A137&lt;=2),Drivers!C16/2,0)</f>
        <v>0</v>
      </c>
      <c r="H137" s="14">
        <f>IF(A137=(Drivers!C19+Drivers!C20),Drivers!C17*(1+Drivers!C21)^(A137/12),0)</f>
        <v>0</v>
      </c>
      <c r="I137" s="14">
        <f>IF(AND(A137&gt;0,A137&lt;=(Drivers!C19+Drivers!C20)),Drivers!C18*(1+Drivers!C23)^(A137/12),0)</f>
        <v>0</v>
      </c>
      <c r="J137" s="14">
        <f t="shared" si="1"/>
        <v>0</v>
      </c>
      <c r="K137" s="12">
        <f>IF(A137&gt;(Drivers!C19+Drivers!C20),MIN(1,0.5+0.5*(A137-(Drivers!C19+Drivers!C20))/Drivers!C39),0)</f>
        <v>1</v>
      </c>
      <c r="L137" s="14">
        <f>Drivers!C2*(B137-B136)*Drivers!C24*(1+Drivers!C22)^(A137/12)*Drivers!C25*K137</f>
        <v>755546.7406</v>
      </c>
      <c r="M137" s="14">
        <f>L137*Drivers!C26</f>
        <v>151109.3481</v>
      </c>
      <c r="N137" s="14">
        <f>(L137+M137)*Drivers!C27</f>
        <v>317329.631</v>
      </c>
      <c r="O137" s="14">
        <f>IF(A137&gt;(Drivers!C19+Drivers!C20),Drivers!C28/12*(1+Drivers!C23)^(A137/12),0)</f>
        <v>518207.641</v>
      </c>
      <c r="P137" s="14">
        <f>(L137+M137)*Drivers!C29</f>
        <v>36266.24355</v>
      </c>
      <c r="Q137" s="14">
        <f>Drivers!C3*Drivers!C30*(1+Drivers!C22)^(A137/12)*Drivers!C31*(1-Drivers!C32 )*K137</f>
        <v>59464.3268</v>
      </c>
      <c r="R137" s="14">
        <f>IF(A137&gt;(Drivers!C19+Drivers!C20),Drivers!C33/12*(1+Drivers!C23)^(A137/12),0)</f>
        <v>77731.14615</v>
      </c>
      <c r="S137" s="14">
        <f t="shared" si="2"/>
        <v>16585.75376</v>
      </c>
      <c r="T137" s="14">
        <f t="shared" si="6"/>
        <v>849040.0593</v>
      </c>
      <c r="U137" s="14">
        <f>IF(AND(A137&gt;Drivers!C19,A137&lt;=(Drivers!C19+Drivers!C20)),Summary!C31*D137,0)</f>
        <v>0</v>
      </c>
      <c r="V137" s="14">
        <f>IF(A137&lt;=(Drivers!C19+Drivers!C20),(T137+U137/2)*Drivers!C36/12,T137*Drivers!C36/12)</f>
        <v>8136.633902</v>
      </c>
      <c r="W137" s="14">
        <f>IF(A137&gt;(Drivers!C19+Drivers!C20),MIN(T137,MAX(0,Summary!C32/12-V137)),0)</f>
        <v>6188.553221</v>
      </c>
      <c r="X137" s="14">
        <f>IF(A137=(Drivers!C19+1),Summary!C31*Drivers!C38,0)</f>
        <v>0</v>
      </c>
      <c r="Y137" s="14">
        <f t="shared" si="3"/>
        <v>842851.5061</v>
      </c>
      <c r="Z137" s="14">
        <f t="shared" si="4"/>
        <v>2260.566635</v>
      </c>
      <c r="AA137" s="14">
        <f t="shared" si="7"/>
        <v>-109218444.6</v>
      </c>
      <c r="AB137" s="14">
        <f t="shared" si="5"/>
        <v>16585.75376</v>
      </c>
      <c r="AC137" s="14">
        <f>(E137+F137+G137+H137)*Drivers!C45</f>
        <v>0</v>
      </c>
      <c r="AD137" s="14">
        <f>IF(A137&lt;=Summary!C18,AB137+IF(A137=Summary!C18,Summary!C40,0),0)</f>
        <v>16585.75376</v>
      </c>
      <c r="AE137" s="14">
        <f>IF(A137&lt;=Summary!C18,Z137+IF(A137=Summary!C18,Summary!C40-Y137,0),0)</f>
        <v>2260.566635</v>
      </c>
      <c r="AF137" s="14">
        <f>AD137-IF(A137=0,Drivers!C44,0)</f>
        <v>16585.75376</v>
      </c>
      <c r="AG137" s="14">
        <f t="shared" si="8"/>
        <v>-108988314.4</v>
      </c>
    </row>
    <row r="138">
      <c r="A138" s="2">
        <v>136.0</v>
      </c>
      <c r="B138" s="15">
        <f>EDATE(Setup!B2,A138)</f>
        <v>50419</v>
      </c>
      <c r="C138" s="2" t="str">
        <f>IF(A138=0,"T0",IF(A138&lt;=Drivers!C19,"Preconstruction",IF(A138&lt;=(Drivers!C19+Drivers!C20),"Construction","Trading")))</f>
        <v>Trading</v>
      </c>
      <c r="D138" s="12">
        <f t="array" ref="D138">IF(AND(A138&gt;Drivers!C19,A138&lt;=(Drivers!C19+Drivers!C20)),SIN(PI()*(A138-Drivers!C19-0.5)/Drivers!C20)/SUMPRODUCT(SIN(PI()*(SEQUENCE(Drivers!C20,1)-0.5)/Drivers!C20)),0)</f>
        <v>0</v>
      </c>
      <c r="E138" s="14">
        <f>(Summary!C10+Summary!C12)*D138*(1+Drivers!C21)^(A138/12)</f>
        <v>0</v>
      </c>
      <c r="F138" s="14">
        <f>IF(AND(A138&gt;0,A138&lt;=Drivers!C19),Summary!C11*Drivers!C40/Drivers!C19*(1+Drivers!C21)^(A138/12),Summary!C11*(1-Drivers!C40 )*D138*(1+Drivers!C21)^(A138/12))</f>
        <v>0</v>
      </c>
      <c r="G138" s="14">
        <f>IF(AND(A138&gt;0,A138&lt;=2),Drivers!C16/2,0)</f>
        <v>0</v>
      </c>
      <c r="H138" s="14">
        <f>IF(A138=(Drivers!C19+Drivers!C20),Drivers!C17*(1+Drivers!C21)^(A138/12),0)</f>
        <v>0</v>
      </c>
      <c r="I138" s="14">
        <f>IF(AND(A138&gt;0,A138&lt;=(Drivers!C19+Drivers!C20)),Drivers!C18*(1+Drivers!C23)^(A138/12),0)</f>
        <v>0</v>
      </c>
      <c r="J138" s="14">
        <f t="shared" si="1"/>
        <v>0</v>
      </c>
      <c r="K138" s="12">
        <f>IF(A138&gt;(Drivers!C19+Drivers!C20),MIN(1,0.5+0.5*(A138-(Drivers!C19+Drivers!C20))/Drivers!C39),0)</f>
        <v>1</v>
      </c>
      <c r="L138" s="14">
        <f>Drivers!C2*(B138-B137)*Drivers!C24*(1+Drivers!C22)^(A138/12)*Drivers!C25*K138</f>
        <v>783287.5441</v>
      </c>
      <c r="M138" s="14">
        <f>L138*Drivers!C26</f>
        <v>156657.5088</v>
      </c>
      <c r="N138" s="14">
        <f>(L138+M138)*Drivers!C27</f>
        <v>328980.7685</v>
      </c>
      <c r="O138" s="14">
        <f>IF(A138&gt;(Drivers!C19+Drivers!C20),Drivers!C28/12*(1+Drivers!C23)^(A138/12),0)</f>
        <v>519904.118</v>
      </c>
      <c r="P138" s="14">
        <f>(L138+M138)*Drivers!C29</f>
        <v>37597.80212</v>
      </c>
      <c r="Q138" s="14">
        <f>Drivers!C3*Drivers!C30*(1+Drivers!C22)^(A138/12)*Drivers!C31*(1-Drivers!C32 )*K138</f>
        <v>59658.99754</v>
      </c>
      <c r="R138" s="14">
        <f>IF(A138&gt;(Drivers!C19+Drivers!C20),Drivers!C33/12*(1+Drivers!C23)^(A138/12),0)</f>
        <v>77985.6177</v>
      </c>
      <c r="S138" s="14">
        <f t="shared" si="2"/>
        <v>35135.74418</v>
      </c>
      <c r="T138" s="14">
        <f t="shared" si="6"/>
        <v>842851.5061</v>
      </c>
      <c r="U138" s="14">
        <f>IF(AND(A138&gt;Drivers!C19,A138&lt;=(Drivers!C19+Drivers!C20)),Summary!C31*D138,0)</f>
        <v>0</v>
      </c>
      <c r="V138" s="14">
        <f>IF(A138&lt;=(Drivers!C19+Drivers!C20),(T138+U138/2)*Drivers!C36/12,T138*Drivers!C36/12)</f>
        <v>8077.326934</v>
      </c>
      <c r="W138" s="14">
        <f>IF(A138&gt;(Drivers!C19+Drivers!C20),MIN(T138,MAX(0,Summary!C32/12-V138)),0)</f>
        <v>6247.860189</v>
      </c>
      <c r="X138" s="14">
        <f>IF(A138=(Drivers!C19+1),Summary!C31*Drivers!C38,0)</f>
        <v>0</v>
      </c>
      <c r="Y138" s="14">
        <f t="shared" si="3"/>
        <v>836603.6459</v>
      </c>
      <c r="Z138" s="14">
        <f t="shared" si="4"/>
        <v>20810.55705</v>
      </c>
      <c r="AA138" s="14">
        <f t="shared" si="7"/>
        <v>-109197634.1</v>
      </c>
      <c r="AB138" s="14">
        <f t="shared" si="5"/>
        <v>35135.74418</v>
      </c>
      <c r="AC138" s="14">
        <f>(E138+F138+G138+H138)*Drivers!C45</f>
        <v>0</v>
      </c>
      <c r="AD138" s="14">
        <f>IF(A138&lt;=Summary!C18,AB138+IF(A138=Summary!C18,Summary!C40,0),0)</f>
        <v>35135.74418</v>
      </c>
      <c r="AE138" s="14">
        <f>IF(A138&lt;=Summary!C18,Z138+IF(A138=Summary!C18,Summary!C40-Y138,0),0)</f>
        <v>20810.55705</v>
      </c>
      <c r="AF138" s="14">
        <f>AD138-IF(A138=0,Drivers!C44,0)</f>
        <v>35135.74418</v>
      </c>
      <c r="AG138" s="14">
        <f t="shared" si="8"/>
        <v>-108953178.6</v>
      </c>
    </row>
    <row r="139">
      <c r="A139" s="2">
        <v>137.0</v>
      </c>
      <c r="B139" s="15">
        <f>EDATE(Setup!B2,A139)</f>
        <v>50450</v>
      </c>
      <c r="C139" s="2" t="str">
        <f>IF(A139=0,"T0",IF(A139&lt;=Drivers!C19,"Preconstruction",IF(A139&lt;=(Drivers!C19+Drivers!C20),"Construction","Trading")))</f>
        <v>Trading</v>
      </c>
      <c r="D139" s="12">
        <f t="array" ref="D139">IF(AND(A139&gt;Drivers!C19,A139&lt;=(Drivers!C19+Drivers!C20)),SIN(PI()*(A139-Drivers!C19-0.5)/Drivers!C20)/SUMPRODUCT(SIN(PI()*(SEQUENCE(Drivers!C20,1)-0.5)/Drivers!C20)),0)</f>
        <v>0</v>
      </c>
      <c r="E139" s="14">
        <f>(Summary!C10+Summary!C12)*D139*(1+Drivers!C21)^(A139/12)</f>
        <v>0</v>
      </c>
      <c r="F139" s="14">
        <f>IF(AND(A139&gt;0,A139&lt;=Drivers!C19),Summary!C11*Drivers!C40/Drivers!C19*(1+Drivers!C21)^(A139/12),Summary!C11*(1-Drivers!C40 )*D139*(1+Drivers!C21)^(A139/12))</f>
        <v>0</v>
      </c>
      <c r="G139" s="14">
        <f>IF(AND(A139&gt;0,A139&lt;=2),Drivers!C16/2,0)</f>
        <v>0</v>
      </c>
      <c r="H139" s="14">
        <f>IF(A139=(Drivers!C19+Drivers!C20),Drivers!C17*(1+Drivers!C21)^(A139/12),0)</f>
        <v>0</v>
      </c>
      <c r="I139" s="14">
        <f>IF(AND(A139&gt;0,A139&lt;=(Drivers!C19+Drivers!C20)),Drivers!C18*(1+Drivers!C23)^(A139/12),0)</f>
        <v>0</v>
      </c>
      <c r="J139" s="14">
        <f t="shared" si="1"/>
        <v>0</v>
      </c>
      <c r="K139" s="12">
        <f>IF(A139&gt;(Drivers!C19+Drivers!C20),MIN(1,0.5+0.5*(A139-(Drivers!C19+Drivers!C20))/Drivers!C39),0)</f>
        <v>1</v>
      </c>
      <c r="L139" s="14">
        <f>Drivers!C2*(B139-B138)*Drivers!C24*(1+Drivers!C22)^(A139/12)*Drivers!C25*K139</f>
        <v>785851.8237</v>
      </c>
      <c r="M139" s="14">
        <f>L139*Drivers!C26</f>
        <v>157170.3647</v>
      </c>
      <c r="N139" s="14">
        <f>(L139+M139)*Drivers!C27</f>
        <v>330057.766</v>
      </c>
      <c r="O139" s="14">
        <f>IF(A139&gt;(Drivers!C19+Drivers!C20),Drivers!C28/12*(1+Drivers!C23)^(A139/12),0)</f>
        <v>521606.1488</v>
      </c>
      <c r="P139" s="14">
        <f>(L139+M139)*Drivers!C29</f>
        <v>37720.88754</v>
      </c>
      <c r="Q139" s="14">
        <f>Drivers!C3*Drivers!C30*(1+Drivers!C22)^(A139/12)*Drivers!C31*(1-Drivers!C32 )*K139</f>
        <v>59854.30557</v>
      </c>
      <c r="R139" s="14">
        <f>IF(A139&gt;(Drivers!C19+Drivers!C20),Drivers!C33/12*(1+Drivers!C23)^(A139/12),0)</f>
        <v>78240.92231</v>
      </c>
      <c r="S139" s="14">
        <f t="shared" si="2"/>
        <v>35250.76946</v>
      </c>
      <c r="T139" s="14">
        <f t="shared" si="6"/>
        <v>836603.6459</v>
      </c>
      <c r="U139" s="14">
        <f>IF(AND(A139&gt;Drivers!C19,A139&lt;=(Drivers!C19+Drivers!C20)),Summary!C31*D139,0)</f>
        <v>0</v>
      </c>
      <c r="V139" s="14">
        <f>IF(A139&lt;=(Drivers!C19+Drivers!C20),(T139+U139/2)*Drivers!C36/12,T139*Drivers!C36/12)</f>
        <v>8017.451607</v>
      </c>
      <c r="W139" s="14">
        <f>IF(A139&gt;(Drivers!C19+Drivers!C20),MIN(T139,MAX(0,Summary!C32/12-V139)),0)</f>
        <v>6307.735516</v>
      </c>
      <c r="X139" s="14">
        <f>IF(A139=(Drivers!C19+1),Summary!C31*Drivers!C38,0)</f>
        <v>0</v>
      </c>
      <c r="Y139" s="14">
        <f t="shared" si="3"/>
        <v>830295.9104</v>
      </c>
      <c r="Z139" s="14">
        <f t="shared" si="4"/>
        <v>20925.58234</v>
      </c>
      <c r="AA139" s="14">
        <f t="shared" si="7"/>
        <v>-109176708.5</v>
      </c>
      <c r="AB139" s="14">
        <f t="shared" si="5"/>
        <v>35250.76946</v>
      </c>
      <c r="AC139" s="14">
        <f>(E139+F139+G139+H139)*Drivers!C45</f>
        <v>0</v>
      </c>
      <c r="AD139" s="14">
        <f>IF(A139&lt;=Summary!C18,AB139+IF(A139=Summary!C18,Summary!C40,0),0)</f>
        <v>35250.76946</v>
      </c>
      <c r="AE139" s="14">
        <f>IF(A139&lt;=Summary!C18,Z139+IF(A139=Summary!C18,Summary!C40-Y139,0),0)</f>
        <v>20925.58234</v>
      </c>
      <c r="AF139" s="14">
        <f>AD139-IF(A139=0,Drivers!C44,0)</f>
        <v>35250.76946</v>
      </c>
      <c r="AG139" s="14">
        <f t="shared" si="8"/>
        <v>-108917927.8</v>
      </c>
    </row>
    <row r="140">
      <c r="A140" s="2">
        <v>138.0</v>
      </c>
      <c r="B140" s="15">
        <f>EDATE(Setup!B2,A140)</f>
        <v>50478</v>
      </c>
      <c r="C140" s="2" t="str">
        <f>IF(A140=0,"T0",IF(A140&lt;=Drivers!C19,"Preconstruction",IF(A140&lt;=(Drivers!C19+Drivers!C20),"Construction","Trading")))</f>
        <v>Trading</v>
      </c>
      <c r="D140" s="12">
        <f t="array" ref="D140">IF(AND(A140&gt;Drivers!C19,A140&lt;=(Drivers!C19+Drivers!C20)),SIN(PI()*(A140-Drivers!C19-0.5)/Drivers!C20)/SUMPRODUCT(SIN(PI()*(SEQUENCE(Drivers!C20,1)-0.5)/Drivers!C20)),0)</f>
        <v>0</v>
      </c>
      <c r="E140" s="14">
        <f>(Summary!C10+Summary!C12)*D140*(1+Drivers!C21)^(A140/12)</f>
        <v>0</v>
      </c>
      <c r="F140" s="14">
        <f>IF(AND(A140&gt;0,A140&lt;=Drivers!C19),Summary!C11*Drivers!C40/Drivers!C19*(1+Drivers!C21)^(A140/12),Summary!C11*(1-Drivers!C40 )*D140*(1+Drivers!C21)^(A140/12))</f>
        <v>0</v>
      </c>
      <c r="G140" s="14">
        <f>IF(AND(A140&gt;0,A140&lt;=2),Drivers!C16/2,0)</f>
        <v>0</v>
      </c>
      <c r="H140" s="14">
        <f>IF(A140=(Drivers!C19+Drivers!C20),Drivers!C17*(1+Drivers!C21)^(A140/12),0)</f>
        <v>0</v>
      </c>
      <c r="I140" s="14">
        <f>IF(AND(A140&gt;0,A140&lt;=(Drivers!C19+Drivers!C20)),Drivers!C18*(1+Drivers!C23)^(A140/12),0)</f>
        <v>0</v>
      </c>
      <c r="J140" s="14">
        <f t="shared" si="1"/>
        <v>0</v>
      </c>
      <c r="K140" s="12">
        <f>IF(A140&gt;(Drivers!C19+Drivers!C20),MIN(1,0.5+0.5*(A140-(Drivers!C19+Drivers!C20))/Drivers!C39),0)</f>
        <v>1</v>
      </c>
      <c r="L140" s="14">
        <f>Drivers!C2*(B140-B139)*Drivers!C24*(1+Drivers!C22)^(A140/12)*Drivers!C25*K140</f>
        <v>712125.3531</v>
      </c>
      <c r="M140" s="14">
        <f>L140*Drivers!C26</f>
        <v>142425.0706</v>
      </c>
      <c r="N140" s="14">
        <f>(L140+M140)*Drivers!C27</f>
        <v>299092.6483</v>
      </c>
      <c r="O140" s="14">
        <f>IF(A140&gt;(Drivers!C19+Drivers!C20),Drivers!C28/12*(1+Drivers!C23)^(A140/12),0)</f>
        <v>523313.7516</v>
      </c>
      <c r="P140" s="14">
        <f>(L140+M140)*Drivers!C29</f>
        <v>34182.01695</v>
      </c>
      <c r="Q140" s="14">
        <f>Drivers!C3*Drivers!C30*(1+Drivers!C22)^(A140/12)*Drivers!C31*(1-Drivers!C32 )*K140</f>
        <v>60050.25299</v>
      </c>
      <c r="R140" s="14">
        <f>IF(A140&gt;(Drivers!C19+Drivers!C20),Drivers!C33/12*(1+Drivers!C23)^(A140/12),0)</f>
        <v>78497.06273</v>
      </c>
      <c r="S140" s="14">
        <f t="shared" si="2"/>
        <v>-20484.80282</v>
      </c>
      <c r="T140" s="14">
        <f t="shared" si="6"/>
        <v>830295.9104</v>
      </c>
      <c r="U140" s="14">
        <f>IF(AND(A140&gt;Drivers!C19,A140&lt;=(Drivers!C19+Drivers!C20)),Summary!C31*D140,0)</f>
        <v>0</v>
      </c>
      <c r="V140" s="14">
        <f>IF(A140&lt;=(Drivers!C19+Drivers!C20),(T140+U140/2)*Drivers!C36/12,T140*Drivers!C36/12)</f>
        <v>7957.002475</v>
      </c>
      <c r="W140" s="14">
        <f>IF(A140&gt;(Drivers!C19+Drivers!C20),MIN(T140,MAX(0,Summary!C32/12-V140)),0)</f>
        <v>6368.184648</v>
      </c>
      <c r="X140" s="14">
        <f>IF(A140=(Drivers!C19+1),Summary!C31*Drivers!C38,0)</f>
        <v>0</v>
      </c>
      <c r="Y140" s="14">
        <f t="shared" si="3"/>
        <v>823927.7258</v>
      </c>
      <c r="Z140" s="14">
        <f t="shared" si="4"/>
        <v>-34809.98994</v>
      </c>
      <c r="AA140" s="14">
        <f t="shared" si="7"/>
        <v>-109211518.5</v>
      </c>
      <c r="AB140" s="14">
        <f t="shared" si="5"/>
        <v>-20484.80282</v>
      </c>
      <c r="AC140" s="14">
        <f>(E140+F140+G140+H140)*Drivers!C45</f>
        <v>0</v>
      </c>
      <c r="AD140" s="14">
        <f>IF(A140&lt;=Summary!C18,AB140+IF(A140=Summary!C18,Summary!C40,0),0)</f>
        <v>-20484.80282</v>
      </c>
      <c r="AE140" s="14">
        <f>IF(A140&lt;=Summary!C18,Z140+IF(A140=Summary!C18,Summary!C40-Y140,0),0)</f>
        <v>-34809.98994</v>
      </c>
      <c r="AF140" s="14">
        <f>AD140-IF(A140=0,Drivers!C44,0)</f>
        <v>-20484.80282</v>
      </c>
      <c r="AG140" s="14">
        <f t="shared" si="8"/>
        <v>-108938412.7</v>
      </c>
    </row>
    <row r="141">
      <c r="A141" s="2">
        <v>139.0</v>
      </c>
      <c r="B141" s="15">
        <f>EDATE(Setup!B2,A141)</f>
        <v>50509</v>
      </c>
      <c r="C141" s="2" t="str">
        <f>IF(A141=0,"T0",IF(A141&lt;=Drivers!C19,"Preconstruction",IF(A141&lt;=(Drivers!C19+Drivers!C20),"Construction","Trading")))</f>
        <v>Trading</v>
      </c>
      <c r="D141" s="12">
        <f t="array" ref="D141">IF(AND(A141&gt;Drivers!C19,A141&lt;=(Drivers!C19+Drivers!C20)),SIN(PI()*(A141-Drivers!C19-0.5)/Drivers!C20)/SUMPRODUCT(SIN(PI()*(SEQUENCE(Drivers!C20,1)-0.5)/Drivers!C20)),0)</f>
        <v>0</v>
      </c>
      <c r="E141" s="14">
        <f>(Summary!C10+Summary!C12)*D141*(1+Drivers!C21)^(A141/12)</f>
        <v>0</v>
      </c>
      <c r="F141" s="14">
        <f>IF(AND(A141&gt;0,A141&lt;=Drivers!C19),Summary!C11*Drivers!C40/Drivers!C19*(1+Drivers!C21)^(A141/12),Summary!C11*(1-Drivers!C40 )*D141*(1+Drivers!C21)^(A141/12))</f>
        <v>0</v>
      </c>
      <c r="G141" s="14">
        <f>IF(AND(A141&gt;0,A141&lt;=2),Drivers!C16/2,0)</f>
        <v>0</v>
      </c>
      <c r="H141" s="14">
        <f>IF(A141=(Drivers!C19+Drivers!C20),Drivers!C17*(1+Drivers!C21)^(A141/12),0)</f>
        <v>0</v>
      </c>
      <c r="I141" s="14">
        <f>IF(AND(A141&gt;0,A141&lt;=(Drivers!C19+Drivers!C20)),Drivers!C18*(1+Drivers!C23)^(A141/12),0)</f>
        <v>0</v>
      </c>
      <c r="J141" s="14">
        <f t="shared" si="1"/>
        <v>0</v>
      </c>
      <c r="K141" s="12">
        <f>IF(A141&gt;(Drivers!C19+Drivers!C20),MIN(1,0.5+0.5*(A141-(Drivers!C19+Drivers!C20))/Drivers!C39),0)</f>
        <v>1</v>
      </c>
      <c r="L141" s="14">
        <f>Drivers!C2*(B141-B140)*Drivers!C24*(1+Drivers!C22)^(A141/12)*Drivers!C25*K141</f>
        <v>791005.5947</v>
      </c>
      <c r="M141" s="14">
        <f>L141*Drivers!C26</f>
        <v>158201.1189</v>
      </c>
      <c r="N141" s="14">
        <f>(L141+M141)*Drivers!C27</f>
        <v>332222.3498</v>
      </c>
      <c r="O141" s="14">
        <f>IF(A141&gt;(Drivers!C19+Drivers!C20),Drivers!C28/12*(1+Drivers!C23)^(A141/12),0)</f>
        <v>525026.9446</v>
      </c>
      <c r="P141" s="14">
        <f>(L141+M141)*Drivers!C29</f>
        <v>37968.26855</v>
      </c>
      <c r="Q141" s="14">
        <f>Drivers!C3*Drivers!C30*(1+Drivers!C22)^(A141/12)*Drivers!C31*(1-Drivers!C32 )*K141</f>
        <v>60246.84189</v>
      </c>
      <c r="R141" s="14">
        <f>IF(A141&gt;(Drivers!C19+Drivers!C20),Drivers!C33/12*(1+Drivers!C23)^(A141/12),0)</f>
        <v>78754.04169</v>
      </c>
      <c r="S141" s="14">
        <f t="shared" si="2"/>
        <v>35481.95095</v>
      </c>
      <c r="T141" s="14">
        <f t="shared" si="6"/>
        <v>823927.7258</v>
      </c>
      <c r="U141" s="14">
        <f>IF(AND(A141&gt;Drivers!C19,A141&lt;=(Drivers!C19+Drivers!C20)),Summary!C31*D141,0)</f>
        <v>0</v>
      </c>
      <c r="V141" s="14">
        <f>IF(A141&lt;=(Drivers!C19+Drivers!C20),(T141+U141/2)*Drivers!C36/12,T141*Drivers!C36/12)</f>
        <v>7895.974039</v>
      </c>
      <c r="W141" s="14">
        <f>IF(A141&gt;(Drivers!C19+Drivers!C20),MIN(T141,MAX(0,Summary!C32/12-V141)),0)</f>
        <v>6429.213084</v>
      </c>
      <c r="X141" s="14">
        <f>IF(A141=(Drivers!C19+1),Summary!C31*Drivers!C38,0)</f>
        <v>0</v>
      </c>
      <c r="Y141" s="14">
        <f t="shared" si="3"/>
        <v>817498.5127</v>
      </c>
      <c r="Z141" s="14">
        <f t="shared" si="4"/>
        <v>21156.76383</v>
      </c>
      <c r="AA141" s="14">
        <f t="shared" si="7"/>
        <v>-109190361.7</v>
      </c>
      <c r="AB141" s="14">
        <f t="shared" si="5"/>
        <v>35481.95095</v>
      </c>
      <c r="AC141" s="14">
        <f>(E141+F141+G141+H141)*Drivers!C45</f>
        <v>0</v>
      </c>
      <c r="AD141" s="14">
        <f>IF(A141&lt;=Summary!C18,AB141+IF(A141=Summary!C18,Summary!C40,0),0)</f>
        <v>35481.95095</v>
      </c>
      <c r="AE141" s="14">
        <f>IF(A141&lt;=Summary!C18,Z141+IF(A141=Summary!C18,Summary!C40-Y141,0),0)</f>
        <v>21156.76383</v>
      </c>
      <c r="AF141" s="14">
        <f>AD141-IF(A141=0,Drivers!C44,0)</f>
        <v>35481.95095</v>
      </c>
      <c r="AG141" s="14">
        <f t="shared" si="8"/>
        <v>-108902930.7</v>
      </c>
    </row>
    <row r="142">
      <c r="A142" s="2">
        <v>140.0</v>
      </c>
      <c r="B142" s="15">
        <f>EDATE(Setup!B2,A142)</f>
        <v>50539</v>
      </c>
      <c r="C142" s="2" t="str">
        <f>IF(A142=0,"T0",IF(A142&lt;=Drivers!C19,"Preconstruction",IF(A142&lt;=(Drivers!C19+Drivers!C20),"Construction","Trading")))</f>
        <v>Trading</v>
      </c>
      <c r="D142" s="12">
        <f t="array" ref="D142">IF(AND(A142&gt;Drivers!C19,A142&lt;=(Drivers!C19+Drivers!C20)),SIN(PI()*(A142-Drivers!C19-0.5)/Drivers!C20)/SUMPRODUCT(SIN(PI()*(SEQUENCE(Drivers!C20,1)-0.5)/Drivers!C20)),0)</f>
        <v>0</v>
      </c>
      <c r="E142" s="14">
        <f>(Summary!C10+Summary!C12)*D142*(1+Drivers!C21)^(A142/12)</f>
        <v>0</v>
      </c>
      <c r="F142" s="14">
        <f>IF(AND(A142&gt;0,A142&lt;=Drivers!C19),Summary!C11*Drivers!C40/Drivers!C19*(1+Drivers!C21)^(A142/12),Summary!C11*(1-Drivers!C40 )*D142*(1+Drivers!C21)^(A142/12))</f>
        <v>0</v>
      </c>
      <c r="G142" s="14">
        <f>IF(AND(A142&gt;0,A142&lt;=2),Drivers!C16/2,0)</f>
        <v>0</v>
      </c>
      <c r="H142" s="14">
        <f>IF(A142=(Drivers!C19+Drivers!C20),Drivers!C17*(1+Drivers!C21)^(A142/12),0)</f>
        <v>0</v>
      </c>
      <c r="I142" s="14">
        <f>IF(AND(A142&gt;0,A142&lt;=(Drivers!C19+Drivers!C20)),Drivers!C18*(1+Drivers!C23)^(A142/12),0)</f>
        <v>0</v>
      </c>
      <c r="J142" s="14">
        <f t="shared" si="1"/>
        <v>0</v>
      </c>
      <c r="K142" s="12">
        <f>IF(A142&gt;(Drivers!C19+Drivers!C20),MIN(1,0.5+0.5*(A142-(Drivers!C19+Drivers!C20))/Drivers!C39),0)</f>
        <v>1</v>
      </c>
      <c r="L142" s="14">
        <f>Drivers!C2*(B142-B141)*Drivers!C24*(1+Drivers!C22)^(A142/12)*Drivers!C25*K142</f>
        <v>767995.298</v>
      </c>
      <c r="M142" s="14">
        <f>L142*Drivers!C26</f>
        <v>153599.0596</v>
      </c>
      <c r="N142" s="14">
        <f>(L142+M142)*Drivers!C27</f>
        <v>322558.0251</v>
      </c>
      <c r="O142" s="14">
        <f>IF(A142&gt;(Drivers!C19+Drivers!C20),Drivers!C28/12*(1+Drivers!C23)^(A142/12),0)</f>
        <v>526745.7462</v>
      </c>
      <c r="P142" s="14">
        <f>(L142+M142)*Drivers!C29</f>
        <v>36863.7743</v>
      </c>
      <c r="Q142" s="14">
        <f>Drivers!C3*Drivers!C30*(1+Drivers!C22)^(A142/12)*Drivers!C31*(1-Drivers!C32 )*K142</f>
        <v>60444.07438</v>
      </c>
      <c r="R142" s="14">
        <f>IF(A142&gt;(Drivers!C19+Drivers!C20),Drivers!C33/12*(1+Drivers!C23)^(A142/12),0)</f>
        <v>79011.86193</v>
      </c>
      <c r="S142" s="14">
        <f t="shared" si="2"/>
        <v>16859.02435</v>
      </c>
      <c r="T142" s="14">
        <f t="shared" si="6"/>
        <v>817498.5127</v>
      </c>
      <c r="U142" s="14">
        <f>IF(AND(A142&gt;Drivers!C19,A142&lt;=(Drivers!C19+Drivers!C20)),Summary!C31*D142,0)</f>
        <v>0</v>
      </c>
      <c r="V142" s="14">
        <f>IF(A142&lt;=(Drivers!C19+Drivers!C20),(T142+U142/2)*Drivers!C36/12,T142*Drivers!C36/12)</f>
        <v>7834.360747</v>
      </c>
      <c r="W142" s="14">
        <f>IF(A142&gt;(Drivers!C19+Drivers!C20),MIN(T142,MAX(0,Summary!C32/12-V142)),0)</f>
        <v>6490.826376</v>
      </c>
      <c r="X142" s="14">
        <f>IF(A142=(Drivers!C19+1),Summary!C31*Drivers!C38,0)</f>
        <v>0</v>
      </c>
      <c r="Y142" s="14">
        <f t="shared" si="3"/>
        <v>811007.6863</v>
      </c>
      <c r="Z142" s="14">
        <f t="shared" si="4"/>
        <v>2533.83723</v>
      </c>
      <c r="AA142" s="14">
        <f t="shared" si="7"/>
        <v>-109187827.9</v>
      </c>
      <c r="AB142" s="14">
        <f t="shared" si="5"/>
        <v>16859.02435</v>
      </c>
      <c r="AC142" s="14">
        <f>(E142+F142+G142+H142)*Drivers!C45</f>
        <v>0</v>
      </c>
      <c r="AD142" s="14">
        <f>IF(A142&lt;=Summary!C18,AB142+IF(A142=Summary!C18,Summary!C40,0),0)</f>
        <v>16859.02435</v>
      </c>
      <c r="AE142" s="14">
        <f>IF(A142&lt;=Summary!C18,Z142+IF(A142=Summary!C18,Summary!C40-Y142,0),0)</f>
        <v>2533.83723</v>
      </c>
      <c r="AF142" s="14">
        <f>AD142-IF(A142=0,Drivers!C44,0)</f>
        <v>16859.02435</v>
      </c>
      <c r="AG142" s="14">
        <f t="shared" si="8"/>
        <v>-108886071.7</v>
      </c>
    </row>
    <row r="143">
      <c r="A143" s="2">
        <v>141.0</v>
      </c>
      <c r="B143" s="15">
        <f>EDATE(Setup!B2,A143)</f>
        <v>50570</v>
      </c>
      <c r="C143" s="2" t="str">
        <f>IF(A143=0,"T0",IF(A143&lt;=Drivers!C19,"Preconstruction",IF(A143&lt;=(Drivers!C19+Drivers!C20),"Construction","Trading")))</f>
        <v>Trading</v>
      </c>
      <c r="D143" s="12">
        <f t="array" ref="D143">IF(AND(A143&gt;Drivers!C19,A143&lt;=(Drivers!C19+Drivers!C20)),SIN(PI()*(A143-Drivers!C19-0.5)/Drivers!C20)/SUMPRODUCT(SIN(PI()*(SEQUENCE(Drivers!C20,1)-0.5)/Drivers!C20)),0)</f>
        <v>0</v>
      </c>
      <c r="E143" s="14">
        <f>(Summary!C10+Summary!C12)*D143*(1+Drivers!C21)^(A143/12)</f>
        <v>0</v>
      </c>
      <c r="F143" s="14">
        <f>IF(AND(A143&gt;0,A143&lt;=Drivers!C19),Summary!C11*Drivers!C40/Drivers!C19*(1+Drivers!C21)^(A143/12),Summary!C11*(1-Drivers!C40 )*D143*(1+Drivers!C21)^(A143/12))</f>
        <v>0</v>
      </c>
      <c r="G143" s="14">
        <f>IF(AND(A143&gt;0,A143&lt;=2),Drivers!C16/2,0)</f>
        <v>0</v>
      </c>
      <c r="H143" s="14">
        <f>IF(A143=(Drivers!C19+Drivers!C20),Drivers!C17*(1+Drivers!C21)^(A143/12),0)</f>
        <v>0</v>
      </c>
      <c r="I143" s="14">
        <f>IF(AND(A143&gt;0,A143&lt;=(Drivers!C19+Drivers!C20)),Drivers!C18*(1+Drivers!C23)^(A143/12),0)</f>
        <v>0</v>
      </c>
      <c r="J143" s="14">
        <f t="shared" si="1"/>
        <v>0</v>
      </c>
      <c r="K143" s="12">
        <f>IF(A143&gt;(Drivers!C19+Drivers!C20),MIN(1,0.5+0.5*(A143-(Drivers!C19+Drivers!C20))/Drivers!C39),0)</f>
        <v>1</v>
      </c>
      <c r="L143" s="14">
        <f>Drivers!C2*(B143-B142)*Drivers!C24*(1+Drivers!C22)^(A143/12)*Drivers!C25*K143</f>
        <v>796193.1652</v>
      </c>
      <c r="M143" s="14">
        <f>L143*Drivers!C26</f>
        <v>159238.633</v>
      </c>
      <c r="N143" s="14">
        <f>(L143+M143)*Drivers!C27</f>
        <v>334401.1294</v>
      </c>
      <c r="O143" s="14">
        <f>IF(A143&gt;(Drivers!C19+Drivers!C20),Drivers!C28/12*(1+Drivers!C23)^(A143/12),0)</f>
        <v>528470.1747</v>
      </c>
      <c r="P143" s="14">
        <f>(L143+M143)*Drivers!C29</f>
        <v>38217.27193</v>
      </c>
      <c r="Q143" s="14">
        <f>Drivers!C3*Drivers!C30*(1+Drivers!C22)^(A143/12)*Drivers!C31*(1-Drivers!C32 )*K143</f>
        <v>60641.95255</v>
      </c>
      <c r="R143" s="14">
        <f>IF(A143&gt;(Drivers!C19+Drivers!C20),Drivers!C33/12*(1+Drivers!C23)^(A143/12),0)</f>
        <v>79270.52621</v>
      </c>
      <c r="S143" s="14">
        <f t="shared" si="2"/>
        <v>35714.64857</v>
      </c>
      <c r="T143" s="14">
        <f t="shared" si="6"/>
        <v>811007.6863</v>
      </c>
      <c r="U143" s="14">
        <f>IF(AND(A143&gt;Drivers!C19,A143&lt;=(Drivers!C19+Drivers!C20)),Summary!C31*D143,0)</f>
        <v>0</v>
      </c>
      <c r="V143" s="14">
        <f>IF(A143&lt;=(Drivers!C19+Drivers!C20),(T143+U143/2)*Drivers!C36/12,T143*Drivers!C36/12)</f>
        <v>7772.156994</v>
      </c>
      <c r="W143" s="14">
        <f>IF(A143&gt;(Drivers!C19+Drivers!C20),MIN(T143,MAX(0,Summary!C32/12-V143)),0)</f>
        <v>6553.030129</v>
      </c>
      <c r="X143" s="14">
        <f>IF(A143=(Drivers!C19+1),Summary!C31*Drivers!C38,0)</f>
        <v>0</v>
      </c>
      <c r="Y143" s="14">
        <f t="shared" si="3"/>
        <v>804454.6562</v>
      </c>
      <c r="Z143" s="14">
        <f t="shared" si="4"/>
        <v>21389.46145</v>
      </c>
      <c r="AA143" s="14">
        <f t="shared" si="7"/>
        <v>-109166438.4</v>
      </c>
      <c r="AB143" s="14">
        <f t="shared" si="5"/>
        <v>35714.64857</v>
      </c>
      <c r="AC143" s="14">
        <f>(E143+F143+G143+H143)*Drivers!C45</f>
        <v>0</v>
      </c>
      <c r="AD143" s="14">
        <f>IF(A143&lt;=Summary!C18,AB143+IF(A143=Summary!C18,Summary!C40,0),0)</f>
        <v>35714.64857</v>
      </c>
      <c r="AE143" s="14">
        <f>IF(A143&lt;=Summary!C18,Z143+IF(A143=Summary!C18,Summary!C40-Y143,0),0)</f>
        <v>21389.46145</v>
      </c>
      <c r="AF143" s="14">
        <f>AD143-IF(A143=0,Drivers!C44,0)</f>
        <v>35714.64857</v>
      </c>
      <c r="AG143" s="14">
        <f t="shared" si="8"/>
        <v>-108850357</v>
      </c>
    </row>
    <row r="144">
      <c r="A144" s="2">
        <v>142.0</v>
      </c>
      <c r="B144" s="15">
        <f>EDATE(Setup!B2,A144)</f>
        <v>50600</v>
      </c>
      <c r="C144" s="2" t="str">
        <f>IF(A144=0,"T0",IF(A144&lt;=Drivers!C19,"Preconstruction",IF(A144&lt;=(Drivers!C19+Drivers!C20),"Construction","Trading")))</f>
        <v>Trading</v>
      </c>
      <c r="D144" s="12">
        <f t="array" ref="D144">IF(AND(A144&gt;Drivers!C19,A144&lt;=(Drivers!C19+Drivers!C20)),SIN(PI()*(A144-Drivers!C19-0.5)/Drivers!C20)/SUMPRODUCT(SIN(PI()*(SEQUENCE(Drivers!C20,1)-0.5)/Drivers!C20)),0)</f>
        <v>0</v>
      </c>
      <c r="E144" s="14">
        <f>(Summary!C10+Summary!C12)*D144*(1+Drivers!C21)^(A144/12)</f>
        <v>0</v>
      </c>
      <c r="F144" s="14">
        <f>IF(AND(A144&gt;0,A144&lt;=Drivers!C19),Summary!C11*Drivers!C40/Drivers!C19*(1+Drivers!C21)^(A144/12),Summary!C11*(1-Drivers!C40 )*D144*(1+Drivers!C21)^(A144/12))</f>
        <v>0</v>
      </c>
      <c r="G144" s="14">
        <f>IF(AND(A144&gt;0,A144&lt;=2),Drivers!C16/2,0)</f>
        <v>0</v>
      </c>
      <c r="H144" s="14">
        <f>IF(A144=(Drivers!C19+Drivers!C20),Drivers!C17*(1+Drivers!C21)^(A144/12),0)</f>
        <v>0</v>
      </c>
      <c r="I144" s="14">
        <f>IF(AND(A144&gt;0,A144&lt;=(Drivers!C19+Drivers!C20)),Drivers!C18*(1+Drivers!C23)^(A144/12),0)</f>
        <v>0</v>
      </c>
      <c r="J144" s="14">
        <f t="shared" si="1"/>
        <v>0</v>
      </c>
      <c r="K144" s="12">
        <f>IF(A144&gt;(Drivers!C19+Drivers!C20),MIN(1,0.5+0.5*(A144-(Drivers!C19+Drivers!C20))/Drivers!C39),0)</f>
        <v>1</v>
      </c>
      <c r="L144" s="14">
        <f>Drivers!C2*(B144-B143)*Drivers!C24*(1+Drivers!C22)^(A144/12)*Drivers!C25*K144</f>
        <v>773031.9624</v>
      </c>
      <c r="M144" s="14">
        <f>L144*Drivers!C26</f>
        <v>154606.3925</v>
      </c>
      <c r="N144" s="14">
        <f>(L144+M144)*Drivers!C27</f>
        <v>324673.4242</v>
      </c>
      <c r="O144" s="14">
        <f>IF(A144&gt;(Drivers!C19+Drivers!C20),Drivers!C28/12*(1+Drivers!C23)^(A144/12),0)</f>
        <v>530200.2485</v>
      </c>
      <c r="P144" s="14">
        <f>(L144+M144)*Drivers!C29</f>
        <v>37105.53419</v>
      </c>
      <c r="Q144" s="14">
        <f>Drivers!C3*Drivers!C30*(1+Drivers!C22)^(A144/12)*Drivers!C31*(1-Drivers!C32 )*K144</f>
        <v>60840.47852</v>
      </c>
      <c r="R144" s="14">
        <f>IF(A144&gt;(Drivers!C19+Drivers!C20),Drivers!C33/12*(1+Drivers!C23)^(A144/12),0)</f>
        <v>79530.03728</v>
      </c>
      <c r="S144" s="14">
        <f t="shared" si="2"/>
        <v>16969.58915</v>
      </c>
      <c r="T144" s="14">
        <f t="shared" si="6"/>
        <v>804454.6562</v>
      </c>
      <c r="U144" s="14">
        <f>IF(AND(A144&gt;Drivers!C19,A144&lt;=(Drivers!C19+Drivers!C20)),Summary!C31*D144,0)</f>
        <v>0</v>
      </c>
      <c r="V144" s="14">
        <f>IF(A144&lt;=(Drivers!C19+Drivers!C20),(T144+U144/2)*Drivers!C36/12,T144*Drivers!C36/12)</f>
        <v>7709.357122</v>
      </c>
      <c r="W144" s="14">
        <f>IF(A144&gt;(Drivers!C19+Drivers!C20),MIN(T144,MAX(0,Summary!C32/12-V144)),0)</f>
        <v>6615.830001</v>
      </c>
      <c r="X144" s="14">
        <f>IF(A144=(Drivers!C19+1),Summary!C31*Drivers!C38,0)</f>
        <v>0</v>
      </c>
      <c r="Y144" s="14">
        <f t="shared" si="3"/>
        <v>797838.8262</v>
      </c>
      <c r="Z144" s="14">
        <f t="shared" si="4"/>
        <v>2644.402032</v>
      </c>
      <c r="AA144" s="14">
        <f t="shared" si="7"/>
        <v>-109163794</v>
      </c>
      <c r="AB144" s="14">
        <f t="shared" si="5"/>
        <v>16969.58915</v>
      </c>
      <c r="AC144" s="14">
        <f>(E144+F144+G144+H144)*Drivers!C45</f>
        <v>0</v>
      </c>
      <c r="AD144" s="14">
        <f>IF(A144&lt;=Summary!C18,AB144+IF(A144=Summary!C18,Summary!C40,0),0)</f>
        <v>16969.58915</v>
      </c>
      <c r="AE144" s="14">
        <f>IF(A144&lt;=Summary!C18,Z144+IF(A144=Summary!C18,Summary!C40-Y144,0),0)</f>
        <v>2644.402032</v>
      </c>
      <c r="AF144" s="14">
        <f>AD144-IF(A144=0,Drivers!C44,0)</f>
        <v>16969.58915</v>
      </c>
      <c r="AG144" s="14">
        <f t="shared" si="8"/>
        <v>-108833387.4</v>
      </c>
    </row>
    <row r="145">
      <c r="A145" s="2">
        <v>143.0</v>
      </c>
      <c r="B145" s="15">
        <f>EDATE(Setup!B2,A145)</f>
        <v>50631</v>
      </c>
      <c r="C145" s="2" t="str">
        <f>IF(A145=0,"T0",IF(A145&lt;=Drivers!C19,"Preconstruction",IF(A145&lt;=(Drivers!C19+Drivers!C20),"Construction","Trading")))</f>
        <v>Trading</v>
      </c>
      <c r="D145" s="12">
        <f t="array" ref="D145">IF(AND(A145&gt;Drivers!C19,A145&lt;=(Drivers!C19+Drivers!C20)),SIN(PI()*(A145-Drivers!C19-0.5)/Drivers!C20)/SUMPRODUCT(SIN(PI()*(SEQUENCE(Drivers!C20,1)-0.5)/Drivers!C20)),0)</f>
        <v>0</v>
      </c>
      <c r="E145" s="14">
        <f>(Summary!C10+Summary!C12)*D145*(1+Drivers!C21)^(A145/12)</f>
        <v>0</v>
      </c>
      <c r="F145" s="14">
        <f>IF(AND(A145&gt;0,A145&lt;=Drivers!C19),Summary!C11*Drivers!C40/Drivers!C19*(1+Drivers!C21)^(A145/12),Summary!C11*(1-Drivers!C40 )*D145*(1+Drivers!C21)^(A145/12))</f>
        <v>0</v>
      </c>
      <c r="G145" s="14">
        <f>IF(AND(A145&gt;0,A145&lt;=2),Drivers!C16/2,0)</f>
        <v>0</v>
      </c>
      <c r="H145" s="14">
        <f>IF(A145=(Drivers!C19+Drivers!C20),Drivers!C17*(1+Drivers!C21)^(A145/12),0)</f>
        <v>0</v>
      </c>
      <c r="I145" s="14">
        <f>IF(AND(A145&gt;0,A145&lt;=(Drivers!C19+Drivers!C20)),Drivers!C18*(1+Drivers!C23)^(A145/12),0)</f>
        <v>0</v>
      </c>
      <c r="J145" s="14">
        <f t="shared" si="1"/>
        <v>0</v>
      </c>
      <c r="K145" s="12">
        <f>IF(A145&gt;(Drivers!C19+Drivers!C20),MIN(1,0.5+0.5*(A145-(Drivers!C19+Drivers!C20))/Drivers!C39),0)</f>
        <v>1</v>
      </c>
      <c r="L145" s="14">
        <f>Drivers!C2*(B145-B144)*Drivers!C24*(1+Drivers!C22)^(A145/12)*Drivers!C25*K145</f>
        <v>801414.7568</v>
      </c>
      <c r="M145" s="14">
        <f>L145*Drivers!C26</f>
        <v>160282.9514</v>
      </c>
      <c r="N145" s="14">
        <f>(L145+M145)*Drivers!C27</f>
        <v>336594.1979</v>
      </c>
      <c r="O145" s="14">
        <f>IF(A145&gt;(Drivers!C19+Drivers!C20),Drivers!C28/12*(1+Drivers!C23)^(A145/12),0)</f>
        <v>531935.9862</v>
      </c>
      <c r="P145" s="14">
        <f>(L145+M145)*Drivers!C29</f>
        <v>38467.90833</v>
      </c>
      <c r="Q145" s="14">
        <f>Drivers!C3*Drivers!C30*(1+Drivers!C22)^(A145/12)*Drivers!C31*(1-Drivers!C32 )*K145</f>
        <v>61039.65442</v>
      </c>
      <c r="R145" s="14">
        <f>IF(A145&gt;(Drivers!C19+Drivers!C20),Drivers!C33/12*(1+Drivers!C23)^(A145/12),0)</f>
        <v>79790.39793</v>
      </c>
      <c r="S145" s="14">
        <f t="shared" si="2"/>
        <v>35948.87227</v>
      </c>
      <c r="T145" s="14">
        <f t="shared" si="6"/>
        <v>797838.8262</v>
      </c>
      <c r="U145" s="14">
        <f>IF(AND(A145&gt;Drivers!C19,A145&lt;=(Drivers!C19+Drivers!C20)),Summary!C31*D145,0)</f>
        <v>0</v>
      </c>
      <c r="V145" s="14">
        <f>IF(A145&lt;=(Drivers!C19+Drivers!C20),(T145+U145/2)*Drivers!C36/12,T145*Drivers!C36/12)</f>
        <v>7645.955418</v>
      </c>
      <c r="W145" s="14">
        <f>IF(A145&gt;(Drivers!C19+Drivers!C20),MIN(T145,MAX(0,Summary!C32/12-V145)),0)</f>
        <v>6679.231705</v>
      </c>
      <c r="X145" s="14">
        <f>IF(A145=(Drivers!C19+1),Summary!C31*Drivers!C38,0)</f>
        <v>0</v>
      </c>
      <c r="Y145" s="14">
        <f t="shared" si="3"/>
        <v>791159.5945</v>
      </c>
      <c r="Z145" s="14">
        <f t="shared" si="4"/>
        <v>21623.68515</v>
      </c>
      <c r="AA145" s="14">
        <f t="shared" si="7"/>
        <v>-109142170.3</v>
      </c>
      <c r="AB145" s="14">
        <f t="shared" si="5"/>
        <v>35948.87227</v>
      </c>
      <c r="AC145" s="14">
        <f>(E145+F145+G145+H145)*Drivers!C45</f>
        <v>0</v>
      </c>
      <c r="AD145" s="14">
        <f>IF(A145&lt;=Summary!C18,AB145+IF(A145=Summary!C18,Summary!C40,0),0)</f>
        <v>35948.87227</v>
      </c>
      <c r="AE145" s="14">
        <f>IF(A145&lt;=Summary!C18,Z145+IF(A145=Summary!C18,Summary!C40-Y145,0),0)</f>
        <v>21623.68515</v>
      </c>
      <c r="AF145" s="14">
        <f>AD145-IF(A145=0,Drivers!C44,0)</f>
        <v>35948.87227</v>
      </c>
      <c r="AG145" s="14">
        <f t="shared" si="8"/>
        <v>-108797438.6</v>
      </c>
    </row>
    <row r="146">
      <c r="A146" s="2">
        <v>144.0</v>
      </c>
      <c r="B146" s="15">
        <f>EDATE(Setup!B2,A146)</f>
        <v>50662</v>
      </c>
      <c r="C146" s="2" t="str">
        <f>IF(A146=0,"T0",IF(A146&lt;=Drivers!C19,"Preconstruction",IF(A146&lt;=(Drivers!C19+Drivers!C20),"Construction","Trading")))</f>
        <v>Trading</v>
      </c>
      <c r="D146" s="12">
        <f t="array" ref="D146">IF(AND(A146&gt;Drivers!C19,A146&lt;=(Drivers!C19+Drivers!C20)),SIN(PI()*(A146-Drivers!C19-0.5)/Drivers!C20)/SUMPRODUCT(SIN(PI()*(SEQUENCE(Drivers!C20,1)-0.5)/Drivers!C20)),0)</f>
        <v>0</v>
      </c>
      <c r="E146" s="14">
        <f>(Summary!C10+Summary!C12)*D146*(1+Drivers!C21)^(A146/12)</f>
        <v>0</v>
      </c>
      <c r="F146" s="14">
        <f>IF(AND(A146&gt;0,A146&lt;=Drivers!C19),Summary!C11*Drivers!C40/Drivers!C19*(1+Drivers!C21)^(A146/12),Summary!C11*(1-Drivers!C40 )*D146*(1+Drivers!C21)^(A146/12))</f>
        <v>0</v>
      </c>
      <c r="G146" s="14">
        <f>IF(AND(A146&gt;0,A146&lt;=2),Drivers!C16/2,0)</f>
        <v>0</v>
      </c>
      <c r="H146" s="14">
        <f>IF(A146=(Drivers!C19+Drivers!C20),Drivers!C17*(1+Drivers!C21)^(A146/12),0)</f>
        <v>0</v>
      </c>
      <c r="I146" s="14">
        <f>IF(AND(A146&gt;0,A146&lt;=(Drivers!C19+Drivers!C20)),Drivers!C18*(1+Drivers!C23)^(A146/12),0)</f>
        <v>0</v>
      </c>
      <c r="J146" s="14">
        <f t="shared" si="1"/>
        <v>0</v>
      </c>
      <c r="K146" s="12">
        <f>IF(A146&gt;(Drivers!C19+Drivers!C20),MIN(1,0.5+0.5*(A146-(Drivers!C19+Drivers!C20))/Drivers!C39),0)</f>
        <v>1</v>
      </c>
      <c r="L146" s="14">
        <f>Drivers!C2*(B146-B145)*Drivers!C24*(1+Drivers!C22)^(A146/12)*Drivers!C25*K146</f>
        <v>804038.3802</v>
      </c>
      <c r="M146" s="14">
        <f>L146*Drivers!C26</f>
        <v>160807.676</v>
      </c>
      <c r="N146" s="14">
        <f>(L146+M146)*Drivers!C27</f>
        <v>337696.1197</v>
      </c>
      <c r="O146" s="14">
        <f>IF(A146&gt;(Drivers!C19+Drivers!C20),Drivers!C28/12*(1+Drivers!C23)^(A146/12),0)</f>
        <v>533677.4062</v>
      </c>
      <c r="P146" s="14">
        <f>(L146+M146)*Drivers!C29</f>
        <v>38593.84225</v>
      </c>
      <c r="Q146" s="14">
        <f>Drivers!C3*Drivers!C30*(1+Drivers!C22)^(A146/12)*Drivers!C31*(1-Drivers!C32 )*K146</f>
        <v>61239.48236</v>
      </c>
      <c r="R146" s="14">
        <f>IF(A146&gt;(Drivers!C19+Drivers!C20),Drivers!C33/12*(1+Drivers!C23)^(A146/12),0)</f>
        <v>80051.61093</v>
      </c>
      <c r="S146" s="14">
        <f t="shared" si="2"/>
        <v>36066.55952</v>
      </c>
      <c r="T146" s="14">
        <f t="shared" si="6"/>
        <v>791159.5945</v>
      </c>
      <c r="U146" s="14">
        <f>IF(AND(A146&gt;Drivers!C19,A146&lt;=(Drivers!C19+Drivers!C20)),Summary!C31*D146,0)</f>
        <v>0</v>
      </c>
      <c r="V146" s="14">
        <f>IF(A146&lt;=(Drivers!C19+Drivers!C20),(T146+U146/2)*Drivers!C36/12,T146*Drivers!C36/12)</f>
        <v>7581.946114</v>
      </c>
      <c r="W146" s="14">
        <f>IF(A146&gt;(Drivers!C19+Drivers!C20),MIN(T146,MAX(0,Summary!C32/12-V146)),0)</f>
        <v>6743.241009</v>
      </c>
      <c r="X146" s="14">
        <f>IF(A146=(Drivers!C19+1),Summary!C31*Drivers!C38,0)</f>
        <v>0</v>
      </c>
      <c r="Y146" s="14">
        <f t="shared" si="3"/>
        <v>784416.3535</v>
      </c>
      <c r="Z146" s="14">
        <f t="shared" si="4"/>
        <v>21741.3724</v>
      </c>
      <c r="AA146" s="14">
        <f t="shared" si="7"/>
        <v>-109120428.9</v>
      </c>
      <c r="AB146" s="14">
        <f t="shared" si="5"/>
        <v>36066.55952</v>
      </c>
      <c r="AC146" s="14">
        <f>(E146+F146+G146+H146)*Drivers!C45</f>
        <v>0</v>
      </c>
      <c r="AD146" s="14">
        <f>IF(A146&lt;=Summary!C18,AB146+IF(A146=Summary!C18,Summary!C40,0),0)</f>
        <v>36066.55952</v>
      </c>
      <c r="AE146" s="14">
        <f>IF(A146&lt;=Summary!C18,Z146+IF(A146=Summary!C18,Summary!C40-Y146,0),0)</f>
        <v>21741.3724</v>
      </c>
      <c r="AF146" s="14">
        <f>AD146-IF(A146=0,Drivers!C44,0)</f>
        <v>36066.55952</v>
      </c>
      <c r="AG146" s="14">
        <f t="shared" si="8"/>
        <v>-108761372</v>
      </c>
    </row>
    <row r="147">
      <c r="A147" s="2">
        <v>145.0</v>
      </c>
      <c r="B147" s="15">
        <f>EDATE(Setup!B2,A147)</f>
        <v>50692</v>
      </c>
      <c r="C147" s="2" t="str">
        <f>IF(A147=0,"T0",IF(A147&lt;=Drivers!C19,"Preconstruction",IF(A147&lt;=(Drivers!C19+Drivers!C20),"Construction","Trading")))</f>
        <v>Trading</v>
      </c>
      <c r="D147" s="12">
        <f t="array" ref="D147">IF(AND(A147&gt;Drivers!C19,A147&lt;=(Drivers!C19+Drivers!C20)),SIN(PI()*(A147-Drivers!C19-0.5)/Drivers!C20)/SUMPRODUCT(SIN(PI()*(SEQUENCE(Drivers!C20,1)-0.5)/Drivers!C20)),0)</f>
        <v>0</v>
      </c>
      <c r="E147" s="14">
        <f>(Summary!C10+Summary!C12)*D147*(1+Drivers!C21)^(A147/12)</f>
        <v>0</v>
      </c>
      <c r="F147" s="14">
        <f>IF(AND(A147&gt;0,A147&lt;=Drivers!C19),Summary!C11*Drivers!C40/Drivers!C19*(1+Drivers!C21)^(A147/12),Summary!C11*(1-Drivers!C40 )*D147*(1+Drivers!C21)^(A147/12))</f>
        <v>0</v>
      </c>
      <c r="G147" s="14">
        <f>IF(AND(A147&gt;0,A147&lt;=2),Drivers!C16/2,0)</f>
        <v>0</v>
      </c>
      <c r="H147" s="14">
        <f>IF(A147=(Drivers!C19+Drivers!C20),Drivers!C17*(1+Drivers!C21)^(A147/12),0)</f>
        <v>0</v>
      </c>
      <c r="I147" s="14">
        <f>IF(AND(A147&gt;0,A147&lt;=(Drivers!C19+Drivers!C20)),Drivers!C18*(1+Drivers!C23)^(A147/12),0)</f>
        <v>0</v>
      </c>
      <c r="J147" s="14">
        <f t="shared" si="1"/>
        <v>0</v>
      </c>
      <c r="K147" s="12">
        <f>IF(A147&gt;(Drivers!C19+Drivers!C20),MIN(1,0.5+0.5*(A147-(Drivers!C19+Drivers!C20))/Drivers!C39),0)</f>
        <v>1</v>
      </c>
      <c r="L147" s="14">
        <f>Drivers!C2*(B147-B146)*Drivers!C24*(1+Drivers!C22)^(A147/12)*Drivers!C25*K147</f>
        <v>780648.9606</v>
      </c>
      <c r="M147" s="14">
        <f>L147*Drivers!C26</f>
        <v>156129.7921</v>
      </c>
      <c r="N147" s="14">
        <f>(L147+M147)*Drivers!C27</f>
        <v>327872.5634</v>
      </c>
      <c r="O147" s="14">
        <f>IF(A147&gt;(Drivers!C19+Drivers!C20),Drivers!C28/12*(1+Drivers!C23)^(A147/12),0)</f>
        <v>535424.5271</v>
      </c>
      <c r="P147" s="14">
        <f>(L147+M147)*Drivers!C29</f>
        <v>37471.15011</v>
      </c>
      <c r="Q147" s="14">
        <f>Drivers!C3*Drivers!C30*(1+Drivers!C22)^(A147/12)*Drivers!C31*(1-Drivers!C32 )*K147</f>
        <v>61439.96449</v>
      </c>
      <c r="R147" s="14">
        <f>IF(A147&gt;(Drivers!C19+Drivers!C20),Drivers!C33/12*(1+Drivers!C23)^(A147/12),0)</f>
        <v>80313.67907</v>
      </c>
      <c r="S147" s="14">
        <f t="shared" si="2"/>
        <v>17136.79742</v>
      </c>
      <c r="T147" s="14">
        <f t="shared" si="6"/>
        <v>784416.3535</v>
      </c>
      <c r="U147" s="14">
        <f>IF(AND(A147&gt;Drivers!C19,A147&lt;=(Drivers!C19+Drivers!C20)),Summary!C31*D147,0)</f>
        <v>0</v>
      </c>
      <c r="V147" s="14">
        <f>IF(A147&lt;=(Drivers!C19+Drivers!C20),(T147+U147/2)*Drivers!C36/12,T147*Drivers!C36/12)</f>
        <v>7517.323387</v>
      </c>
      <c r="W147" s="14">
        <f>IF(A147&gt;(Drivers!C19+Drivers!C20),MIN(T147,MAX(0,Summary!C32/12-V147)),0)</f>
        <v>6807.863735</v>
      </c>
      <c r="X147" s="14">
        <f>IF(A147=(Drivers!C19+1),Summary!C31*Drivers!C38,0)</f>
        <v>0</v>
      </c>
      <c r="Y147" s="14">
        <f t="shared" si="3"/>
        <v>777608.4897</v>
      </c>
      <c r="Z147" s="14">
        <f t="shared" si="4"/>
        <v>2811.610293</v>
      </c>
      <c r="AA147" s="14">
        <f t="shared" si="7"/>
        <v>-109117617.3</v>
      </c>
      <c r="AB147" s="14">
        <f t="shared" si="5"/>
        <v>17136.79742</v>
      </c>
      <c r="AC147" s="14">
        <f>(E147+F147+G147+H147)*Drivers!C45</f>
        <v>0</v>
      </c>
      <c r="AD147" s="14">
        <f>IF(A147&lt;=Summary!C18,AB147+IF(A147=Summary!C18,Summary!C40,0),0)</f>
        <v>17136.79742</v>
      </c>
      <c r="AE147" s="14">
        <f>IF(A147&lt;=Summary!C18,Z147+IF(A147=Summary!C18,Summary!C40-Y147,0),0)</f>
        <v>2811.610293</v>
      </c>
      <c r="AF147" s="14">
        <f>AD147-IF(A147=0,Drivers!C44,0)</f>
        <v>17136.79742</v>
      </c>
      <c r="AG147" s="14">
        <f t="shared" si="8"/>
        <v>-108744235.2</v>
      </c>
    </row>
    <row r="148">
      <c r="A148" s="2">
        <v>146.0</v>
      </c>
      <c r="B148" s="15">
        <f>EDATE(Setup!B2,A148)</f>
        <v>50723</v>
      </c>
      <c r="C148" s="2" t="str">
        <f>IF(A148=0,"T0",IF(A148&lt;=Drivers!C19,"Preconstruction",IF(A148&lt;=(Drivers!C19+Drivers!C20),"Construction","Trading")))</f>
        <v>Trading</v>
      </c>
      <c r="D148" s="12">
        <f t="array" ref="D148">IF(AND(A148&gt;Drivers!C19,A148&lt;=(Drivers!C19+Drivers!C20)),SIN(PI()*(A148-Drivers!C19-0.5)/Drivers!C20)/SUMPRODUCT(SIN(PI()*(SEQUENCE(Drivers!C20,1)-0.5)/Drivers!C20)),0)</f>
        <v>0</v>
      </c>
      <c r="E148" s="14">
        <f>(Summary!C10+Summary!C12)*D148*(1+Drivers!C21)^(A148/12)</f>
        <v>0</v>
      </c>
      <c r="F148" s="14">
        <f>IF(AND(A148&gt;0,A148&lt;=Drivers!C19),Summary!C11*Drivers!C40/Drivers!C19*(1+Drivers!C21)^(A148/12),Summary!C11*(1-Drivers!C40 )*D148*(1+Drivers!C21)^(A148/12))</f>
        <v>0</v>
      </c>
      <c r="G148" s="14">
        <f>IF(AND(A148&gt;0,A148&lt;=2),Drivers!C16/2,0)</f>
        <v>0</v>
      </c>
      <c r="H148" s="14">
        <f>IF(A148=(Drivers!C19+Drivers!C20),Drivers!C17*(1+Drivers!C21)^(A148/12),0)</f>
        <v>0</v>
      </c>
      <c r="I148" s="14">
        <f>IF(AND(A148&gt;0,A148&lt;=(Drivers!C19+Drivers!C20)),Drivers!C18*(1+Drivers!C23)^(A148/12),0)</f>
        <v>0</v>
      </c>
      <c r="J148" s="14">
        <f t="shared" si="1"/>
        <v>0</v>
      </c>
      <c r="K148" s="12">
        <f>IF(A148&gt;(Drivers!C19+Drivers!C20),MIN(1,0.5+0.5*(A148-(Drivers!C19+Drivers!C20))/Drivers!C39),0)</f>
        <v>1</v>
      </c>
      <c r="L148" s="14">
        <f>Drivers!C2*(B148-B147)*Drivers!C24*(1+Drivers!C22)^(A148/12)*Drivers!C25*K148</f>
        <v>809311.4222</v>
      </c>
      <c r="M148" s="14">
        <f>L148*Drivers!C26</f>
        <v>161862.2844</v>
      </c>
      <c r="N148" s="14">
        <f>(L148+M148)*Drivers!C27</f>
        <v>339910.7973</v>
      </c>
      <c r="O148" s="14">
        <f>IF(A148&gt;(Drivers!C19+Drivers!C20),Drivers!C28/12*(1+Drivers!C23)^(A148/12),0)</f>
        <v>537177.3677</v>
      </c>
      <c r="P148" s="14">
        <f>(L148+M148)*Drivers!C29</f>
        <v>38846.94827</v>
      </c>
      <c r="Q148" s="14">
        <f>Drivers!C3*Drivers!C30*(1+Drivers!C22)^(A148/12)*Drivers!C31*(1-Drivers!C32 )*K148</f>
        <v>61641.10295</v>
      </c>
      <c r="R148" s="14">
        <f>IF(A148&gt;(Drivers!C19+Drivers!C20),Drivers!C33/12*(1+Drivers!C23)^(A148/12),0)</f>
        <v>80576.60516</v>
      </c>
      <c r="S148" s="14">
        <f t="shared" si="2"/>
        <v>36303.09112</v>
      </c>
      <c r="T148" s="14">
        <f t="shared" si="6"/>
        <v>777608.4897</v>
      </c>
      <c r="U148" s="14">
        <f>IF(AND(A148&gt;Drivers!C19,A148&lt;=(Drivers!C19+Drivers!C20)),Summary!C31*D148,0)</f>
        <v>0</v>
      </c>
      <c r="V148" s="14">
        <f>IF(A148&lt;=(Drivers!C19+Drivers!C20),(T148+U148/2)*Drivers!C36/12,T148*Drivers!C36/12)</f>
        <v>7452.08136</v>
      </c>
      <c r="W148" s="14">
        <f>IF(A148&gt;(Drivers!C19+Drivers!C20),MIN(T148,MAX(0,Summary!C32/12-V148)),0)</f>
        <v>6873.105763</v>
      </c>
      <c r="X148" s="14">
        <f>IF(A148=(Drivers!C19+1),Summary!C31*Drivers!C38,0)</f>
        <v>0</v>
      </c>
      <c r="Y148" s="14">
        <f t="shared" si="3"/>
        <v>770735.384</v>
      </c>
      <c r="Z148" s="14">
        <f t="shared" si="4"/>
        <v>21977.904</v>
      </c>
      <c r="AA148" s="14">
        <f t="shared" si="7"/>
        <v>-109095639.4</v>
      </c>
      <c r="AB148" s="14">
        <f t="shared" si="5"/>
        <v>36303.09112</v>
      </c>
      <c r="AC148" s="14">
        <f>(E148+F148+G148+H148)*Drivers!C45</f>
        <v>0</v>
      </c>
      <c r="AD148" s="14">
        <f>IF(A148&lt;=Summary!C18,AB148+IF(A148=Summary!C18,Summary!C40,0),0)</f>
        <v>36303.09112</v>
      </c>
      <c r="AE148" s="14">
        <f>IF(A148&lt;=Summary!C18,Z148+IF(A148=Summary!C18,Summary!C40-Y148,0),0)</f>
        <v>21977.904</v>
      </c>
      <c r="AF148" s="14">
        <f>AD148-IF(A148=0,Drivers!C44,0)</f>
        <v>36303.09112</v>
      </c>
      <c r="AG148" s="14">
        <f t="shared" si="8"/>
        <v>-108707932.1</v>
      </c>
    </row>
    <row r="149">
      <c r="A149" s="2">
        <v>147.0</v>
      </c>
      <c r="B149" s="15">
        <f>EDATE(Setup!B2,A149)</f>
        <v>50753</v>
      </c>
      <c r="C149" s="2" t="str">
        <f>IF(A149=0,"T0",IF(A149&lt;=Drivers!C19,"Preconstruction",IF(A149&lt;=(Drivers!C19+Drivers!C20),"Construction","Trading")))</f>
        <v>Trading</v>
      </c>
      <c r="D149" s="12">
        <f t="array" ref="D149">IF(AND(A149&gt;Drivers!C19,A149&lt;=(Drivers!C19+Drivers!C20)),SIN(PI()*(A149-Drivers!C19-0.5)/Drivers!C20)/SUMPRODUCT(SIN(PI()*(SEQUENCE(Drivers!C20,1)-0.5)/Drivers!C20)),0)</f>
        <v>0</v>
      </c>
      <c r="E149" s="14">
        <f>(Summary!C10+Summary!C12)*D149*(1+Drivers!C21)^(A149/12)</f>
        <v>0</v>
      </c>
      <c r="F149" s="14">
        <f>IF(AND(A149&gt;0,A149&lt;=Drivers!C19),Summary!C11*Drivers!C40/Drivers!C19*(1+Drivers!C21)^(A149/12),Summary!C11*(1-Drivers!C40 )*D149*(1+Drivers!C21)^(A149/12))</f>
        <v>0</v>
      </c>
      <c r="G149" s="14">
        <f>IF(AND(A149&gt;0,A149&lt;=2),Drivers!C16/2,0)</f>
        <v>0</v>
      </c>
      <c r="H149" s="14">
        <f>IF(A149=(Drivers!C19+Drivers!C20),Drivers!C17*(1+Drivers!C21)^(A149/12),0)</f>
        <v>0</v>
      </c>
      <c r="I149" s="14">
        <f>IF(AND(A149&gt;0,A149&lt;=(Drivers!C19+Drivers!C20)),Drivers!C18*(1+Drivers!C23)^(A149/12),0)</f>
        <v>0</v>
      </c>
      <c r="J149" s="14">
        <f t="shared" si="1"/>
        <v>0</v>
      </c>
      <c r="K149" s="12">
        <f>IF(A149&gt;(Drivers!C19+Drivers!C20),MIN(1,0.5+0.5*(A149-(Drivers!C19+Drivers!C20))/Drivers!C39),0)</f>
        <v>1</v>
      </c>
      <c r="L149" s="14">
        <f>Drivers!C2*(B149-B148)*Drivers!C24*(1+Drivers!C22)^(A149/12)*Drivers!C25*K149</f>
        <v>785768.6102</v>
      </c>
      <c r="M149" s="14">
        <f>L149*Drivers!C26</f>
        <v>157153.722</v>
      </c>
      <c r="N149" s="14">
        <f>(L149+M149)*Drivers!C27</f>
        <v>330022.8163</v>
      </c>
      <c r="O149" s="14">
        <f>IF(A149&gt;(Drivers!C19+Drivers!C20),Drivers!C28/12*(1+Drivers!C23)^(A149/12),0)</f>
        <v>538935.9466</v>
      </c>
      <c r="P149" s="14">
        <f>(L149+M149)*Drivers!C29</f>
        <v>37716.89329</v>
      </c>
      <c r="Q149" s="14">
        <f>Drivers!C3*Drivers!C30*(1+Drivers!C22)^(A149/12)*Drivers!C31*(1-Drivers!C32 )*K149</f>
        <v>61842.89988</v>
      </c>
      <c r="R149" s="14">
        <f>IF(A149&gt;(Drivers!C19+Drivers!C20),Drivers!C33/12*(1+Drivers!C23)^(A149/12),0)</f>
        <v>80840.392</v>
      </c>
      <c r="S149" s="14">
        <f t="shared" si="2"/>
        <v>17249.18391</v>
      </c>
      <c r="T149" s="14">
        <f t="shared" si="6"/>
        <v>770735.384</v>
      </c>
      <c r="U149" s="14">
        <f>IF(AND(A149&gt;Drivers!C19,A149&lt;=(Drivers!C19+Drivers!C20)),Summary!C31*D149,0)</f>
        <v>0</v>
      </c>
      <c r="V149" s="14">
        <f>IF(A149&lt;=(Drivers!C19+Drivers!C20),(T149+U149/2)*Drivers!C36/12,T149*Drivers!C36/12)</f>
        <v>7386.214096</v>
      </c>
      <c r="W149" s="14">
        <f>IF(A149&gt;(Drivers!C19+Drivers!C20),MIN(T149,MAX(0,Summary!C32/12-V149)),0)</f>
        <v>6938.973026</v>
      </c>
      <c r="X149" s="14">
        <f>IF(A149=(Drivers!C19+1),Summary!C31*Drivers!C38,0)</f>
        <v>0</v>
      </c>
      <c r="Y149" s="14">
        <f t="shared" si="3"/>
        <v>763796.4109</v>
      </c>
      <c r="Z149" s="14">
        <f t="shared" si="4"/>
        <v>2923.996785</v>
      </c>
      <c r="AA149" s="14">
        <f t="shared" si="7"/>
        <v>-109092715.4</v>
      </c>
      <c r="AB149" s="14">
        <f t="shared" si="5"/>
        <v>17249.18391</v>
      </c>
      <c r="AC149" s="14">
        <f>(E149+F149+G149+H149)*Drivers!C45</f>
        <v>0</v>
      </c>
      <c r="AD149" s="14">
        <f>IF(A149&lt;=Summary!C18,AB149+IF(A149=Summary!C18,Summary!C40,0),0)</f>
        <v>17249.18391</v>
      </c>
      <c r="AE149" s="14">
        <f>IF(A149&lt;=Summary!C18,Z149+IF(A149=Summary!C18,Summary!C40-Y149,0),0)</f>
        <v>2923.996785</v>
      </c>
      <c r="AF149" s="14">
        <f>AD149-IF(A149=0,Drivers!C44,0)</f>
        <v>17249.18391</v>
      </c>
      <c r="AG149" s="14">
        <f t="shared" si="8"/>
        <v>-108690682.9</v>
      </c>
    </row>
    <row r="150">
      <c r="A150" s="2">
        <v>148.0</v>
      </c>
      <c r="B150" s="15">
        <f>EDATE(Setup!B2,A150)</f>
        <v>50784</v>
      </c>
      <c r="C150" s="2" t="str">
        <f>IF(A150=0,"T0",IF(A150&lt;=Drivers!C19,"Preconstruction",IF(A150&lt;=(Drivers!C19+Drivers!C20),"Construction","Trading")))</f>
        <v>Trading</v>
      </c>
      <c r="D150" s="12">
        <f t="array" ref="D150">IF(AND(A150&gt;Drivers!C19,A150&lt;=(Drivers!C19+Drivers!C20)),SIN(PI()*(A150-Drivers!C19-0.5)/Drivers!C20)/SUMPRODUCT(SIN(PI()*(SEQUENCE(Drivers!C20,1)-0.5)/Drivers!C20)),0)</f>
        <v>0</v>
      </c>
      <c r="E150" s="14">
        <f>(Summary!C10+Summary!C12)*D150*(1+Drivers!C21)^(A150/12)</f>
        <v>0</v>
      </c>
      <c r="F150" s="14">
        <f>IF(AND(A150&gt;0,A150&lt;=Drivers!C19),Summary!C11*Drivers!C40/Drivers!C19*(1+Drivers!C21)^(A150/12),Summary!C11*(1-Drivers!C40 )*D150*(1+Drivers!C21)^(A150/12))</f>
        <v>0</v>
      </c>
      <c r="G150" s="14">
        <f>IF(AND(A150&gt;0,A150&lt;=2),Drivers!C16/2,0)</f>
        <v>0</v>
      </c>
      <c r="H150" s="14">
        <f>IF(A150=(Drivers!C19+Drivers!C20),Drivers!C17*(1+Drivers!C21)^(A150/12),0)</f>
        <v>0</v>
      </c>
      <c r="I150" s="14">
        <f>IF(AND(A150&gt;0,A150&lt;=(Drivers!C19+Drivers!C20)),Drivers!C18*(1+Drivers!C23)^(A150/12),0)</f>
        <v>0</v>
      </c>
      <c r="J150" s="14">
        <f t="shared" si="1"/>
        <v>0</v>
      </c>
      <c r="K150" s="12">
        <f>IF(A150&gt;(Drivers!C19+Drivers!C20),MIN(1,0.5+0.5*(A150-(Drivers!C19+Drivers!C20))/Drivers!C39),0)</f>
        <v>1</v>
      </c>
      <c r="L150" s="14">
        <f>Drivers!C2*(B150-B149)*Drivers!C24*(1+Drivers!C22)^(A150/12)*Drivers!C25*K150</f>
        <v>814619.0459</v>
      </c>
      <c r="M150" s="14">
        <f>L150*Drivers!C26</f>
        <v>162923.8092</v>
      </c>
      <c r="N150" s="14">
        <f>(L150+M150)*Drivers!C27</f>
        <v>342139.9993</v>
      </c>
      <c r="O150" s="14">
        <f>IF(A150&gt;(Drivers!C19+Drivers!C20),Drivers!C28/12*(1+Drivers!C23)^(A150/12),0)</f>
        <v>540700.2827</v>
      </c>
      <c r="P150" s="14">
        <f>(L150+M150)*Drivers!C29</f>
        <v>39101.7142</v>
      </c>
      <c r="Q150" s="14">
        <f>Drivers!C3*Drivers!C30*(1+Drivers!C22)^(A150/12)*Drivers!C31*(1-Drivers!C32 )*K150</f>
        <v>62045.35744</v>
      </c>
      <c r="R150" s="14">
        <f>IF(A150&gt;(Drivers!C19+Drivers!C20),Drivers!C33/12*(1+Drivers!C23)^(A150/12),0)</f>
        <v>81105.0424</v>
      </c>
      <c r="S150" s="14">
        <f t="shared" si="2"/>
        <v>36541.17394</v>
      </c>
      <c r="T150" s="14">
        <f t="shared" si="6"/>
        <v>763796.4109</v>
      </c>
      <c r="U150" s="14">
        <f>IF(AND(A150&gt;Drivers!C19,A150&lt;=(Drivers!C19+Drivers!C20)),Summary!C31*D150,0)</f>
        <v>0</v>
      </c>
      <c r="V150" s="14">
        <f>IF(A150&lt;=(Drivers!C19+Drivers!C20),(T150+U150/2)*Drivers!C36/12,T150*Drivers!C36/12)</f>
        <v>7319.715605</v>
      </c>
      <c r="W150" s="14">
        <f>IF(A150&gt;(Drivers!C19+Drivers!C20),MIN(T150,MAX(0,Summary!C32/12-V150)),0)</f>
        <v>7005.471518</v>
      </c>
      <c r="X150" s="14">
        <f>IF(A150=(Drivers!C19+1),Summary!C31*Drivers!C38,0)</f>
        <v>0</v>
      </c>
      <c r="Y150" s="14">
        <f t="shared" si="3"/>
        <v>756790.9394</v>
      </c>
      <c r="Z150" s="14">
        <f t="shared" si="4"/>
        <v>22215.98682</v>
      </c>
      <c r="AA150" s="14">
        <f t="shared" si="7"/>
        <v>-109070499.4</v>
      </c>
      <c r="AB150" s="14">
        <f t="shared" si="5"/>
        <v>36541.17394</v>
      </c>
      <c r="AC150" s="14">
        <f>(E150+F150+G150+H150)*Drivers!C45</f>
        <v>0</v>
      </c>
      <c r="AD150" s="14">
        <f>IF(A150&lt;=Summary!C18,AB150+IF(A150=Summary!C18,Summary!C40,0),0)</f>
        <v>36541.17394</v>
      </c>
      <c r="AE150" s="14">
        <f>IF(A150&lt;=Summary!C18,Z150+IF(A150=Summary!C18,Summary!C40-Y150,0),0)</f>
        <v>22215.98682</v>
      </c>
      <c r="AF150" s="14">
        <f>AD150-IF(A150=0,Drivers!C44,0)</f>
        <v>36541.17394</v>
      </c>
      <c r="AG150" s="14">
        <f t="shared" si="8"/>
        <v>-108654141.8</v>
      </c>
    </row>
    <row r="151">
      <c r="A151" s="2">
        <v>149.0</v>
      </c>
      <c r="B151" s="15">
        <f>EDATE(Setup!B2,A151)</f>
        <v>50815</v>
      </c>
      <c r="C151" s="2" t="str">
        <f>IF(A151=0,"T0",IF(A151&lt;=Drivers!C19,"Preconstruction",IF(A151&lt;=(Drivers!C19+Drivers!C20),"Construction","Trading")))</f>
        <v>Trading</v>
      </c>
      <c r="D151" s="12">
        <f t="array" ref="D151">IF(AND(A151&gt;Drivers!C19,A151&lt;=(Drivers!C19+Drivers!C20)),SIN(PI()*(A151-Drivers!C19-0.5)/Drivers!C20)/SUMPRODUCT(SIN(PI()*(SEQUENCE(Drivers!C20,1)-0.5)/Drivers!C20)),0)</f>
        <v>0</v>
      </c>
      <c r="E151" s="14">
        <f>(Summary!C10+Summary!C12)*D151*(1+Drivers!C21)^(A151/12)</f>
        <v>0</v>
      </c>
      <c r="F151" s="14">
        <f>IF(AND(A151&gt;0,A151&lt;=Drivers!C19),Summary!C11*Drivers!C40/Drivers!C19*(1+Drivers!C21)^(A151/12),Summary!C11*(1-Drivers!C40 )*D151*(1+Drivers!C21)^(A151/12))</f>
        <v>0</v>
      </c>
      <c r="G151" s="14">
        <f>IF(AND(A151&gt;0,A151&lt;=2),Drivers!C16/2,0)</f>
        <v>0</v>
      </c>
      <c r="H151" s="14">
        <f>IF(A151=(Drivers!C19+Drivers!C20),Drivers!C17*(1+Drivers!C21)^(A151/12),0)</f>
        <v>0</v>
      </c>
      <c r="I151" s="14">
        <f>IF(AND(A151&gt;0,A151&lt;=(Drivers!C19+Drivers!C20)),Drivers!C18*(1+Drivers!C23)^(A151/12),0)</f>
        <v>0</v>
      </c>
      <c r="J151" s="14">
        <f t="shared" si="1"/>
        <v>0</v>
      </c>
      <c r="K151" s="12">
        <f>IF(A151&gt;(Drivers!C19+Drivers!C20),MIN(1,0.5+0.5*(A151-(Drivers!C19+Drivers!C20))/Drivers!C39),0)</f>
        <v>1</v>
      </c>
      <c r="L151" s="14">
        <f>Drivers!C2*(B151-B150)*Drivers!C24*(1+Drivers!C22)^(A151/12)*Drivers!C25*K151</f>
        <v>817285.8967</v>
      </c>
      <c r="M151" s="14">
        <f>L151*Drivers!C26</f>
        <v>163457.1793</v>
      </c>
      <c r="N151" s="14">
        <f>(L151+M151)*Drivers!C27</f>
        <v>343260.0766</v>
      </c>
      <c r="O151" s="14">
        <f>IF(A151&gt;(Drivers!C19+Drivers!C20),Drivers!C28/12*(1+Drivers!C23)^(A151/12),0)</f>
        <v>542470.3947</v>
      </c>
      <c r="P151" s="14">
        <f>(L151+M151)*Drivers!C29</f>
        <v>39229.72304</v>
      </c>
      <c r="Q151" s="14">
        <f>Drivers!C3*Drivers!C30*(1+Drivers!C22)^(A151/12)*Drivers!C31*(1-Drivers!C32 )*K151</f>
        <v>62248.47779</v>
      </c>
      <c r="R151" s="14">
        <f>IF(A151&gt;(Drivers!C19+Drivers!C20),Drivers!C33/12*(1+Drivers!C23)^(A151/12),0)</f>
        <v>81370.55921</v>
      </c>
      <c r="S151" s="14">
        <f t="shared" si="2"/>
        <v>36660.80024</v>
      </c>
      <c r="T151" s="14">
        <f t="shared" si="6"/>
        <v>756790.9394</v>
      </c>
      <c r="U151" s="14">
        <f>IF(AND(A151&gt;Drivers!C19,A151&lt;=(Drivers!C19+Drivers!C20)),Summary!C31*D151,0)</f>
        <v>0</v>
      </c>
      <c r="V151" s="14">
        <f>IF(A151&lt;=(Drivers!C19+Drivers!C20),(T151+U151/2)*Drivers!C36/12,T151*Drivers!C36/12)</f>
        <v>7252.579836</v>
      </c>
      <c r="W151" s="14">
        <f>IF(A151&gt;(Drivers!C19+Drivers!C20),MIN(T151,MAX(0,Summary!C32/12-V151)),0)</f>
        <v>7072.607287</v>
      </c>
      <c r="X151" s="14">
        <f>IF(A151=(Drivers!C19+1),Summary!C31*Drivers!C38,0)</f>
        <v>0</v>
      </c>
      <c r="Y151" s="14">
        <f t="shared" si="3"/>
        <v>749718.3321</v>
      </c>
      <c r="Z151" s="14">
        <f t="shared" si="4"/>
        <v>22335.61312</v>
      </c>
      <c r="AA151" s="14">
        <f t="shared" si="7"/>
        <v>-109048163.8</v>
      </c>
      <c r="AB151" s="14">
        <f t="shared" si="5"/>
        <v>36660.80024</v>
      </c>
      <c r="AC151" s="14">
        <f>(E151+F151+G151+H151)*Drivers!C45</f>
        <v>0</v>
      </c>
      <c r="AD151" s="14">
        <f>IF(A151&lt;=Summary!C18,AB151+IF(A151=Summary!C18,Summary!C40,0),0)</f>
        <v>36660.80024</v>
      </c>
      <c r="AE151" s="14">
        <f>IF(A151&lt;=Summary!C18,Z151+IF(A151=Summary!C18,Summary!C40-Y151,0),0)</f>
        <v>22335.61312</v>
      </c>
      <c r="AF151" s="14">
        <f>AD151-IF(A151=0,Drivers!C44,0)</f>
        <v>36660.80024</v>
      </c>
      <c r="AG151" s="14">
        <f t="shared" si="8"/>
        <v>-108617481</v>
      </c>
    </row>
    <row r="152">
      <c r="A152" s="2">
        <v>150.0</v>
      </c>
      <c r="B152" s="15">
        <f>EDATE(Setup!B2,A152)</f>
        <v>50843</v>
      </c>
      <c r="C152" s="2" t="str">
        <f>IF(A152=0,"T0",IF(A152&lt;=Drivers!C19,"Preconstruction",IF(A152&lt;=(Drivers!C19+Drivers!C20),"Construction","Trading")))</f>
        <v>Trading</v>
      </c>
      <c r="D152" s="12">
        <f t="array" ref="D152">IF(AND(A152&gt;Drivers!C19,A152&lt;=(Drivers!C19+Drivers!C20)),SIN(PI()*(A152-Drivers!C19-0.5)/Drivers!C20)/SUMPRODUCT(SIN(PI()*(SEQUENCE(Drivers!C20,1)-0.5)/Drivers!C20)),0)</f>
        <v>0</v>
      </c>
      <c r="E152" s="14">
        <f>(Summary!C10+Summary!C12)*D152*(1+Drivers!C21)^(A152/12)</f>
        <v>0</v>
      </c>
      <c r="F152" s="14">
        <f>IF(AND(A152&gt;0,A152&lt;=Drivers!C19),Summary!C11*Drivers!C40/Drivers!C19*(1+Drivers!C21)^(A152/12),Summary!C11*(1-Drivers!C40 )*D152*(1+Drivers!C21)^(A152/12))</f>
        <v>0</v>
      </c>
      <c r="G152" s="14">
        <f>IF(AND(A152&gt;0,A152&lt;=2),Drivers!C16/2,0)</f>
        <v>0</v>
      </c>
      <c r="H152" s="14">
        <f>IF(A152=(Drivers!C19+Drivers!C20),Drivers!C17*(1+Drivers!C21)^(A152/12),0)</f>
        <v>0</v>
      </c>
      <c r="I152" s="14">
        <f>IF(AND(A152&gt;0,A152&lt;=(Drivers!C19+Drivers!C20)),Drivers!C18*(1+Drivers!C23)^(A152/12),0)</f>
        <v>0</v>
      </c>
      <c r="J152" s="14">
        <f t="shared" si="1"/>
        <v>0</v>
      </c>
      <c r="K152" s="12">
        <f>IF(A152&gt;(Drivers!C19+Drivers!C20),MIN(1,0.5+0.5*(A152-(Drivers!C19+Drivers!C20))/Drivers!C39),0)</f>
        <v>1</v>
      </c>
      <c r="L152" s="14">
        <f>Drivers!C2*(B152-B151)*Drivers!C24*(1+Drivers!C22)^(A152/12)*Drivers!C25*K152</f>
        <v>740610.3673</v>
      </c>
      <c r="M152" s="14">
        <f>L152*Drivers!C26</f>
        <v>148122.0735</v>
      </c>
      <c r="N152" s="14">
        <f>(L152+M152)*Drivers!C27</f>
        <v>311056.3542</v>
      </c>
      <c r="O152" s="14">
        <f>IF(A152&gt;(Drivers!C19+Drivers!C20),Drivers!C28/12*(1+Drivers!C23)^(A152/12),0)</f>
        <v>544246.3016</v>
      </c>
      <c r="P152" s="14">
        <f>(L152+M152)*Drivers!C29</f>
        <v>35549.29763</v>
      </c>
      <c r="Q152" s="14">
        <f>Drivers!C3*Drivers!C30*(1+Drivers!C22)^(A152/12)*Drivers!C31*(1-Drivers!C32 )*K152</f>
        <v>62452.26311</v>
      </c>
      <c r="R152" s="14">
        <f>IF(A152&gt;(Drivers!C19+Drivers!C20),Drivers!C33/12*(1+Drivers!C23)^(A152/12),0)</f>
        <v>81636.94524</v>
      </c>
      <c r="S152" s="14">
        <f t="shared" si="2"/>
        <v>-21304.19493</v>
      </c>
      <c r="T152" s="14">
        <f t="shared" si="6"/>
        <v>749718.3321</v>
      </c>
      <c r="U152" s="14">
        <f>IF(AND(A152&gt;Drivers!C19,A152&lt;=(Drivers!C19+Drivers!C20)),Summary!C31*D152,0)</f>
        <v>0</v>
      </c>
      <c r="V152" s="14">
        <f>IF(A152&lt;=(Drivers!C19+Drivers!C20),(T152+U152/2)*Drivers!C36/12,T152*Drivers!C36/12)</f>
        <v>7184.800683</v>
      </c>
      <c r="W152" s="14">
        <f>IF(A152&gt;(Drivers!C19+Drivers!C20),MIN(T152,MAX(0,Summary!C32/12-V152)),0)</f>
        <v>7140.38644</v>
      </c>
      <c r="X152" s="14">
        <f>IF(A152=(Drivers!C19+1),Summary!C31*Drivers!C38,0)</f>
        <v>0</v>
      </c>
      <c r="Y152" s="14">
        <f t="shared" si="3"/>
        <v>742577.9457</v>
      </c>
      <c r="Z152" s="14">
        <f t="shared" si="4"/>
        <v>-35629.38205</v>
      </c>
      <c r="AA152" s="14">
        <f t="shared" si="7"/>
        <v>-109083793.2</v>
      </c>
      <c r="AB152" s="14">
        <f t="shared" si="5"/>
        <v>-21304.19493</v>
      </c>
      <c r="AC152" s="14">
        <f>(E152+F152+G152+H152)*Drivers!C45</f>
        <v>0</v>
      </c>
      <c r="AD152" s="14">
        <f>IF(A152&lt;=Summary!C18,AB152+IF(A152=Summary!C18,Summary!C40,0),0)</f>
        <v>-21304.19493</v>
      </c>
      <c r="AE152" s="14">
        <f>IF(A152&lt;=Summary!C18,Z152+IF(A152=Summary!C18,Summary!C40-Y152,0),0)</f>
        <v>-35629.38205</v>
      </c>
      <c r="AF152" s="14">
        <f>AD152-IF(A152=0,Drivers!C44,0)</f>
        <v>-21304.19493</v>
      </c>
      <c r="AG152" s="14">
        <f t="shared" si="8"/>
        <v>-108638785.2</v>
      </c>
    </row>
    <row r="153">
      <c r="A153" s="2">
        <v>151.0</v>
      </c>
      <c r="B153" s="15">
        <f>EDATE(Setup!B2,A153)</f>
        <v>50874</v>
      </c>
      <c r="C153" s="2" t="str">
        <f>IF(A153=0,"T0",IF(A153&lt;=Drivers!C19,"Preconstruction",IF(A153&lt;=(Drivers!C19+Drivers!C20),"Construction","Trading")))</f>
        <v>Trading</v>
      </c>
      <c r="D153" s="12">
        <f t="array" ref="D153">IF(AND(A153&gt;Drivers!C19,A153&lt;=(Drivers!C19+Drivers!C20)),SIN(PI()*(A153-Drivers!C19-0.5)/Drivers!C20)/SUMPRODUCT(SIN(PI()*(SEQUENCE(Drivers!C20,1)-0.5)/Drivers!C20)),0)</f>
        <v>0</v>
      </c>
      <c r="E153" s="14">
        <f>(Summary!C10+Summary!C12)*D153*(1+Drivers!C21)^(A153/12)</f>
        <v>0</v>
      </c>
      <c r="F153" s="14">
        <f>IF(AND(A153&gt;0,A153&lt;=Drivers!C19),Summary!C11*Drivers!C40/Drivers!C19*(1+Drivers!C21)^(A153/12),Summary!C11*(1-Drivers!C40 )*D153*(1+Drivers!C21)^(A153/12))</f>
        <v>0</v>
      </c>
      <c r="G153" s="14">
        <f>IF(AND(A153&gt;0,A153&lt;=2),Drivers!C16/2,0)</f>
        <v>0</v>
      </c>
      <c r="H153" s="14">
        <f>IF(A153=(Drivers!C19+Drivers!C20),Drivers!C17*(1+Drivers!C21)^(A153/12),0)</f>
        <v>0</v>
      </c>
      <c r="I153" s="14">
        <f>IF(AND(A153&gt;0,A153&lt;=(Drivers!C19+Drivers!C20)),Drivers!C18*(1+Drivers!C23)^(A153/12),0)</f>
        <v>0</v>
      </c>
      <c r="J153" s="14">
        <f t="shared" si="1"/>
        <v>0</v>
      </c>
      <c r="K153" s="12">
        <f>IF(A153&gt;(Drivers!C19+Drivers!C20),MIN(1,0.5+0.5*(A153-(Drivers!C19+Drivers!C20))/Drivers!C39),0)</f>
        <v>1</v>
      </c>
      <c r="L153" s="14">
        <f>Drivers!C2*(B153-B152)*Drivers!C24*(1+Drivers!C22)^(A153/12)*Drivers!C25*K153</f>
        <v>822645.8185</v>
      </c>
      <c r="M153" s="14">
        <f>L153*Drivers!C26</f>
        <v>164529.1637</v>
      </c>
      <c r="N153" s="14">
        <f>(L153+M153)*Drivers!C27</f>
        <v>345511.2438</v>
      </c>
      <c r="O153" s="14">
        <f>IF(A153&gt;(Drivers!C19+Drivers!C20),Drivers!C28/12*(1+Drivers!C23)^(A153/12),0)</f>
        <v>546028.0224</v>
      </c>
      <c r="P153" s="14">
        <f>(L153+M153)*Drivers!C29</f>
        <v>39486.99929</v>
      </c>
      <c r="Q153" s="14">
        <f>Drivers!C3*Drivers!C30*(1+Drivers!C22)^(A153/12)*Drivers!C31*(1-Drivers!C32 )*K153</f>
        <v>62656.71557</v>
      </c>
      <c r="R153" s="14">
        <f>IF(A153&gt;(Drivers!C19+Drivers!C20),Drivers!C33/12*(1+Drivers!C23)^(A153/12),0)</f>
        <v>81904.20336</v>
      </c>
      <c r="S153" s="14">
        <f t="shared" si="2"/>
        <v>36901.22899</v>
      </c>
      <c r="T153" s="14">
        <f t="shared" si="6"/>
        <v>742577.9457</v>
      </c>
      <c r="U153" s="14">
        <f>IF(AND(A153&gt;Drivers!C19,A153&lt;=(Drivers!C19+Drivers!C20)),Summary!C31*D153,0)</f>
        <v>0</v>
      </c>
      <c r="V153" s="14">
        <f>IF(A153&lt;=(Drivers!C19+Drivers!C20),(T153+U153/2)*Drivers!C36/12,T153*Drivers!C36/12)</f>
        <v>7116.37198</v>
      </c>
      <c r="W153" s="14">
        <f>IF(A153&gt;(Drivers!C19+Drivers!C20),MIN(T153,MAX(0,Summary!C32/12-V153)),0)</f>
        <v>7208.815143</v>
      </c>
      <c r="X153" s="14">
        <f>IF(A153=(Drivers!C19+1),Summary!C31*Drivers!C38,0)</f>
        <v>0</v>
      </c>
      <c r="Y153" s="14">
        <f t="shared" si="3"/>
        <v>735369.1306</v>
      </c>
      <c r="Z153" s="14">
        <f t="shared" si="4"/>
        <v>22576.04186</v>
      </c>
      <c r="AA153" s="14">
        <f t="shared" si="7"/>
        <v>-109061217.2</v>
      </c>
      <c r="AB153" s="14">
        <f t="shared" si="5"/>
        <v>36901.22899</v>
      </c>
      <c r="AC153" s="14">
        <f>(E153+F153+G153+H153)*Drivers!C45</f>
        <v>0</v>
      </c>
      <c r="AD153" s="14">
        <f>IF(A153&lt;=Summary!C18,AB153+IF(A153=Summary!C18,Summary!C40,0),0)</f>
        <v>36901.22899</v>
      </c>
      <c r="AE153" s="14">
        <f>IF(A153&lt;=Summary!C18,Z153+IF(A153=Summary!C18,Summary!C40-Y153,0),0)</f>
        <v>22576.04186</v>
      </c>
      <c r="AF153" s="14">
        <f>AD153-IF(A153=0,Drivers!C44,0)</f>
        <v>36901.22899</v>
      </c>
      <c r="AG153" s="14">
        <f t="shared" si="8"/>
        <v>-108601883.9</v>
      </c>
    </row>
    <row r="154">
      <c r="A154" s="2">
        <v>152.0</v>
      </c>
      <c r="B154" s="15">
        <f>EDATE(Setup!B2,A154)</f>
        <v>50904</v>
      </c>
      <c r="C154" s="2" t="str">
        <f>IF(A154=0,"T0",IF(A154&lt;=Drivers!C19,"Preconstruction",IF(A154&lt;=(Drivers!C19+Drivers!C20),"Construction","Trading")))</f>
        <v>Trading</v>
      </c>
      <c r="D154" s="12">
        <f t="array" ref="D154">IF(AND(A154&gt;Drivers!C19,A154&lt;=(Drivers!C19+Drivers!C20)),SIN(PI()*(A154-Drivers!C19-0.5)/Drivers!C20)/SUMPRODUCT(SIN(PI()*(SEQUENCE(Drivers!C20,1)-0.5)/Drivers!C20)),0)</f>
        <v>0</v>
      </c>
      <c r="E154" s="14">
        <f>(Summary!C10+Summary!C12)*D154*(1+Drivers!C21)^(A154/12)</f>
        <v>0</v>
      </c>
      <c r="F154" s="14">
        <f>IF(AND(A154&gt;0,A154&lt;=Drivers!C19),Summary!C11*Drivers!C40/Drivers!C19*(1+Drivers!C21)^(A154/12),Summary!C11*(1-Drivers!C40 )*D154*(1+Drivers!C21)^(A154/12))</f>
        <v>0</v>
      </c>
      <c r="G154" s="14">
        <f>IF(AND(A154&gt;0,A154&lt;=2),Drivers!C16/2,0)</f>
        <v>0</v>
      </c>
      <c r="H154" s="14">
        <f>IF(A154=(Drivers!C19+Drivers!C20),Drivers!C17*(1+Drivers!C21)^(A154/12),0)</f>
        <v>0</v>
      </c>
      <c r="I154" s="14">
        <f>IF(AND(A154&gt;0,A154&lt;=(Drivers!C19+Drivers!C20)),Drivers!C18*(1+Drivers!C23)^(A154/12),0)</f>
        <v>0</v>
      </c>
      <c r="J154" s="14">
        <f t="shared" si="1"/>
        <v>0</v>
      </c>
      <c r="K154" s="12">
        <f>IF(A154&gt;(Drivers!C19+Drivers!C20),MIN(1,0.5+0.5*(A154-(Drivers!C19+Drivers!C20))/Drivers!C39),0)</f>
        <v>1</v>
      </c>
      <c r="L154" s="14">
        <f>Drivers!C2*(B154-B153)*Drivers!C24*(1+Drivers!C22)^(A154/12)*Drivers!C25*K154</f>
        <v>798715.1099</v>
      </c>
      <c r="M154" s="14">
        <f>L154*Drivers!C26</f>
        <v>159743.022</v>
      </c>
      <c r="N154" s="14">
        <f>(L154+M154)*Drivers!C27</f>
        <v>335460.3462</v>
      </c>
      <c r="O154" s="14">
        <f>IF(A154&gt;(Drivers!C19+Drivers!C20),Drivers!C28/12*(1+Drivers!C23)^(A154/12),0)</f>
        <v>547815.5761</v>
      </c>
      <c r="P154" s="14">
        <f>(L154+M154)*Drivers!C29</f>
        <v>38338.32527</v>
      </c>
      <c r="Q154" s="14">
        <f>Drivers!C3*Drivers!C30*(1+Drivers!C22)^(A154/12)*Drivers!C31*(1-Drivers!C32 )*K154</f>
        <v>62861.83735</v>
      </c>
      <c r="R154" s="14">
        <f>IF(A154&gt;(Drivers!C19+Drivers!C20),Drivers!C33/12*(1+Drivers!C23)^(A154/12),0)</f>
        <v>82172.33641</v>
      </c>
      <c r="S154" s="14">
        <f t="shared" si="2"/>
        <v>17533.38533</v>
      </c>
      <c r="T154" s="14">
        <f t="shared" si="6"/>
        <v>735369.1306</v>
      </c>
      <c r="U154" s="14">
        <f>IF(AND(A154&gt;Drivers!C19,A154&lt;=(Drivers!C19+Drivers!C20)),Summary!C31*D154,0)</f>
        <v>0</v>
      </c>
      <c r="V154" s="14">
        <f>IF(A154&lt;=(Drivers!C19+Drivers!C20),(T154+U154/2)*Drivers!C36/12,T154*Drivers!C36/12)</f>
        <v>7047.287501</v>
      </c>
      <c r="W154" s="14">
        <f>IF(A154&gt;(Drivers!C19+Drivers!C20),MIN(T154,MAX(0,Summary!C32/12-V154)),0)</f>
        <v>7277.899622</v>
      </c>
      <c r="X154" s="14">
        <f>IF(A154=(Drivers!C19+1),Summary!C31*Drivers!C38,0)</f>
        <v>0</v>
      </c>
      <c r="Y154" s="14">
        <f t="shared" si="3"/>
        <v>728091.2309</v>
      </c>
      <c r="Z154" s="14">
        <f t="shared" si="4"/>
        <v>3208.198204</v>
      </c>
      <c r="AA154" s="14">
        <f t="shared" si="7"/>
        <v>-109058009</v>
      </c>
      <c r="AB154" s="14">
        <f t="shared" si="5"/>
        <v>17533.38533</v>
      </c>
      <c r="AC154" s="14">
        <f>(E154+F154+G154+H154)*Drivers!C45</f>
        <v>0</v>
      </c>
      <c r="AD154" s="14">
        <f>IF(A154&lt;=Summary!C18,AB154+IF(A154=Summary!C18,Summary!C40,0),0)</f>
        <v>17533.38533</v>
      </c>
      <c r="AE154" s="14">
        <f>IF(A154&lt;=Summary!C18,Z154+IF(A154=Summary!C18,Summary!C40-Y154,0),0)</f>
        <v>3208.198204</v>
      </c>
      <c r="AF154" s="14">
        <f>AD154-IF(A154=0,Drivers!C44,0)</f>
        <v>17533.38533</v>
      </c>
      <c r="AG154" s="14">
        <f t="shared" si="8"/>
        <v>-108584350.5</v>
      </c>
    </row>
    <row r="155">
      <c r="A155" s="2">
        <v>153.0</v>
      </c>
      <c r="B155" s="15">
        <f>EDATE(Setup!B2,A155)</f>
        <v>50935</v>
      </c>
      <c r="C155" s="2" t="str">
        <f>IF(A155=0,"T0",IF(A155&lt;=Drivers!C19,"Preconstruction",IF(A155&lt;=(Drivers!C19+Drivers!C20),"Construction","Trading")))</f>
        <v>Trading</v>
      </c>
      <c r="D155" s="12">
        <f t="array" ref="D155">IF(AND(A155&gt;Drivers!C19,A155&lt;=(Drivers!C19+Drivers!C20)),SIN(PI()*(A155-Drivers!C19-0.5)/Drivers!C20)/SUMPRODUCT(SIN(PI()*(SEQUENCE(Drivers!C20,1)-0.5)/Drivers!C20)),0)</f>
        <v>0</v>
      </c>
      <c r="E155" s="14">
        <f>(Summary!C10+Summary!C12)*D155*(1+Drivers!C21)^(A155/12)</f>
        <v>0</v>
      </c>
      <c r="F155" s="14">
        <f>IF(AND(A155&gt;0,A155&lt;=Drivers!C19),Summary!C11*Drivers!C40/Drivers!C19*(1+Drivers!C21)^(A155/12),Summary!C11*(1-Drivers!C40 )*D155*(1+Drivers!C21)^(A155/12))</f>
        <v>0</v>
      </c>
      <c r="G155" s="14">
        <f>IF(AND(A155&gt;0,A155&lt;=2),Drivers!C16/2,0)</f>
        <v>0</v>
      </c>
      <c r="H155" s="14">
        <f>IF(A155=(Drivers!C19+Drivers!C20),Drivers!C17*(1+Drivers!C21)^(A155/12),0)</f>
        <v>0</v>
      </c>
      <c r="I155" s="14">
        <f>IF(AND(A155&gt;0,A155&lt;=(Drivers!C19+Drivers!C20)),Drivers!C18*(1+Drivers!C23)^(A155/12),0)</f>
        <v>0</v>
      </c>
      <c r="J155" s="14">
        <f t="shared" si="1"/>
        <v>0</v>
      </c>
      <c r="K155" s="12">
        <f>IF(A155&gt;(Drivers!C19+Drivers!C20),MIN(1,0.5+0.5*(A155-(Drivers!C19+Drivers!C20))/Drivers!C39),0)</f>
        <v>1</v>
      </c>
      <c r="L155" s="14">
        <f>Drivers!C2*(B155-B154)*Drivers!C24*(1+Drivers!C22)^(A155/12)*Drivers!C25*K155</f>
        <v>828040.8918</v>
      </c>
      <c r="M155" s="14">
        <f>L155*Drivers!C26</f>
        <v>165608.1784</v>
      </c>
      <c r="N155" s="14">
        <f>(L155+M155)*Drivers!C27</f>
        <v>347777.1746</v>
      </c>
      <c r="O155" s="14">
        <f>IF(A155&gt;(Drivers!C19+Drivers!C20),Drivers!C28/12*(1+Drivers!C23)^(A155/12),0)</f>
        <v>549608.9817</v>
      </c>
      <c r="P155" s="14">
        <f>(L155+M155)*Drivers!C29</f>
        <v>39745.96281</v>
      </c>
      <c r="Q155" s="14">
        <f>Drivers!C3*Drivers!C30*(1+Drivers!C22)^(A155/12)*Drivers!C31*(1-Drivers!C32 )*K155</f>
        <v>63067.63065</v>
      </c>
      <c r="R155" s="14">
        <f>IF(A155&gt;(Drivers!C19+Drivers!C20),Drivers!C33/12*(1+Drivers!C23)^(A155/12),0)</f>
        <v>82441.34725</v>
      </c>
      <c r="S155" s="14">
        <f t="shared" si="2"/>
        <v>37143.23451</v>
      </c>
      <c r="T155" s="14">
        <f t="shared" si="6"/>
        <v>728091.2309</v>
      </c>
      <c r="U155" s="14">
        <f>IF(AND(A155&gt;Drivers!C19,A155&lt;=(Drivers!C19+Drivers!C20)),Summary!C31*D155,0)</f>
        <v>0</v>
      </c>
      <c r="V155" s="14">
        <f>IF(A155&lt;=(Drivers!C19+Drivers!C20),(T155+U155/2)*Drivers!C36/12,T155*Drivers!C36/12)</f>
        <v>6977.540963</v>
      </c>
      <c r="W155" s="14">
        <f>IF(A155&gt;(Drivers!C19+Drivers!C20),MIN(T155,MAX(0,Summary!C32/12-V155)),0)</f>
        <v>7347.64616</v>
      </c>
      <c r="X155" s="14">
        <f>IF(A155=(Drivers!C19+1),Summary!C31*Drivers!C38,0)</f>
        <v>0</v>
      </c>
      <c r="Y155" s="14">
        <f t="shared" si="3"/>
        <v>720743.5848</v>
      </c>
      <c r="Z155" s="14">
        <f t="shared" si="4"/>
        <v>22818.04739</v>
      </c>
      <c r="AA155" s="14">
        <f t="shared" si="7"/>
        <v>-109035190.9</v>
      </c>
      <c r="AB155" s="14">
        <f t="shared" si="5"/>
        <v>37143.23451</v>
      </c>
      <c r="AC155" s="14">
        <f>(E155+F155+G155+H155)*Drivers!C45</f>
        <v>0</v>
      </c>
      <c r="AD155" s="14">
        <f>IF(A155&lt;=Summary!C18,AB155+IF(A155=Summary!C18,Summary!C40,0),0)</f>
        <v>37143.23451</v>
      </c>
      <c r="AE155" s="14">
        <f>IF(A155&lt;=Summary!C18,Z155+IF(A155=Summary!C18,Summary!C40-Y155,0),0)</f>
        <v>22818.04739</v>
      </c>
      <c r="AF155" s="14">
        <f>AD155-IF(A155=0,Drivers!C44,0)</f>
        <v>37143.23451</v>
      </c>
      <c r="AG155" s="14">
        <f t="shared" si="8"/>
        <v>-108547207.3</v>
      </c>
    </row>
    <row r="156">
      <c r="A156" s="2">
        <v>154.0</v>
      </c>
      <c r="B156" s="15">
        <f>EDATE(Setup!B2,A156)</f>
        <v>50965</v>
      </c>
      <c r="C156" s="2" t="str">
        <f>IF(A156=0,"T0",IF(A156&lt;=Drivers!C19,"Preconstruction",IF(A156&lt;=(Drivers!C19+Drivers!C20),"Construction","Trading")))</f>
        <v>Trading</v>
      </c>
      <c r="D156" s="12">
        <f t="array" ref="D156">IF(AND(A156&gt;Drivers!C19,A156&lt;=(Drivers!C19+Drivers!C20)),SIN(PI()*(A156-Drivers!C19-0.5)/Drivers!C20)/SUMPRODUCT(SIN(PI()*(SEQUENCE(Drivers!C20,1)-0.5)/Drivers!C20)),0)</f>
        <v>0</v>
      </c>
      <c r="E156" s="14">
        <f>(Summary!C10+Summary!C12)*D156*(1+Drivers!C21)^(A156/12)</f>
        <v>0</v>
      </c>
      <c r="F156" s="14">
        <f>IF(AND(A156&gt;0,A156&lt;=Drivers!C19),Summary!C11*Drivers!C40/Drivers!C19*(1+Drivers!C21)^(A156/12),Summary!C11*(1-Drivers!C40 )*D156*(1+Drivers!C21)^(A156/12))</f>
        <v>0</v>
      </c>
      <c r="G156" s="14">
        <f>IF(AND(A156&gt;0,A156&lt;=2),Drivers!C16/2,0)</f>
        <v>0</v>
      </c>
      <c r="H156" s="14">
        <f>IF(A156=(Drivers!C19+Drivers!C20),Drivers!C17*(1+Drivers!C21)^(A156/12),0)</f>
        <v>0</v>
      </c>
      <c r="I156" s="14">
        <f>IF(AND(A156&gt;0,A156&lt;=(Drivers!C19+Drivers!C20)),Drivers!C18*(1+Drivers!C23)^(A156/12),0)</f>
        <v>0</v>
      </c>
      <c r="J156" s="14">
        <f t="shared" si="1"/>
        <v>0</v>
      </c>
      <c r="K156" s="12">
        <f>IF(A156&gt;(Drivers!C19+Drivers!C20),MIN(1,0.5+0.5*(A156-(Drivers!C19+Drivers!C20))/Drivers!C39),0)</f>
        <v>1</v>
      </c>
      <c r="L156" s="14">
        <f>Drivers!C2*(B156-B155)*Drivers!C24*(1+Drivers!C22)^(A156/12)*Drivers!C25*K156</f>
        <v>803953.2409</v>
      </c>
      <c r="M156" s="14">
        <f>L156*Drivers!C26</f>
        <v>160790.6482</v>
      </c>
      <c r="N156" s="14">
        <f>(L156+M156)*Drivers!C27</f>
        <v>337660.3612</v>
      </c>
      <c r="O156" s="14">
        <f>IF(A156&gt;(Drivers!C19+Drivers!C20),Drivers!C28/12*(1+Drivers!C23)^(A156/12),0)</f>
        <v>551408.2585</v>
      </c>
      <c r="P156" s="14">
        <f>(L156+M156)*Drivers!C29</f>
        <v>38589.75556</v>
      </c>
      <c r="Q156" s="14">
        <f>Drivers!C3*Drivers!C30*(1+Drivers!C22)^(A156/12)*Drivers!C31*(1-Drivers!C32 )*K156</f>
        <v>63274.09766</v>
      </c>
      <c r="R156" s="14">
        <f>IF(A156&gt;(Drivers!C19+Drivers!C20),Drivers!C33/12*(1+Drivers!C23)^(A156/12),0)</f>
        <v>82711.23877</v>
      </c>
      <c r="S156" s="14">
        <f t="shared" si="2"/>
        <v>17648.37272</v>
      </c>
      <c r="T156" s="14">
        <f t="shared" si="6"/>
        <v>720743.5848</v>
      </c>
      <c r="U156" s="14">
        <f>IF(AND(A156&gt;Drivers!C19,A156&lt;=(Drivers!C19+Drivers!C20)),Summary!C31*D156,0)</f>
        <v>0</v>
      </c>
      <c r="V156" s="14">
        <f>IF(A156&lt;=(Drivers!C19+Drivers!C20),(T156+U156/2)*Drivers!C36/12,T156*Drivers!C36/12)</f>
        <v>6907.126021</v>
      </c>
      <c r="W156" s="14">
        <f>IF(A156&gt;(Drivers!C19+Drivers!C20),MIN(T156,MAX(0,Summary!C32/12-V156)),0)</f>
        <v>7418.061102</v>
      </c>
      <c r="X156" s="14">
        <f>IF(A156=(Drivers!C19+1),Summary!C31*Drivers!C38,0)</f>
        <v>0</v>
      </c>
      <c r="Y156" s="14">
        <f t="shared" si="3"/>
        <v>713325.5237</v>
      </c>
      <c r="Z156" s="14">
        <f t="shared" si="4"/>
        <v>3323.185598</v>
      </c>
      <c r="AA156" s="14">
        <f t="shared" si="7"/>
        <v>-109031867.7</v>
      </c>
      <c r="AB156" s="14">
        <f t="shared" si="5"/>
        <v>17648.37272</v>
      </c>
      <c r="AC156" s="14">
        <f>(E156+F156+G156+H156)*Drivers!C45</f>
        <v>0</v>
      </c>
      <c r="AD156" s="14">
        <f>IF(A156&lt;=Summary!C18,AB156+IF(A156=Summary!C18,Summary!C40,0),0)</f>
        <v>17648.37272</v>
      </c>
      <c r="AE156" s="14">
        <f>IF(A156&lt;=Summary!C18,Z156+IF(A156=Summary!C18,Summary!C40-Y156,0),0)</f>
        <v>3323.185598</v>
      </c>
      <c r="AF156" s="14">
        <f>AD156-IF(A156=0,Drivers!C44,0)</f>
        <v>17648.37272</v>
      </c>
      <c r="AG156" s="14">
        <f t="shared" si="8"/>
        <v>-108529558.9</v>
      </c>
    </row>
    <row r="157">
      <c r="A157" s="2">
        <v>155.0</v>
      </c>
      <c r="B157" s="15">
        <f>EDATE(Setup!B2,A157)</f>
        <v>50996</v>
      </c>
      <c r="C157" s="2" t="str">
        <f>IF(A157=0,"T0",IF(A157&lt;=Drivers!C19,"Preconstruction",IF(A157&lt;=(Drivers!C19+Drivers!C20),"Construction","Trading")))</f>
        <v>Trading</v>
      </c>
      <c r="D157" s="12">
        <f t="array" ref="D157">IF(AND(A157&gt;Drivers!C19,A157&lt;=(Drivers!C19+Drivers!C20)),SIN(PI()*(A157-Drivers!C19-0.5)/Drivers!C20)/SUMPRODUCT(SIN(PI()*(SEQUENCE(Drivers!C20,1)-0.5)/Drivers!C20)),0)</f>
        <v>0</v>
      </c>
      <c r="E157" s="14">
        <f>(Summary!C10+Summary!C12)*D157*(1+Drivers!C21)^(A157/12)</f>
        <v>0</v>
      </c>
      <c r="F157" s="14">
        <f>IF(AND(A157&gt;0,A157&lt;=Drivers!C19),Summary!C11*Drivers!C40/Drivers!C19*(1+Drivers!C21)^(A157/12),Summary!C11*(1-Drivers!C40 )*D157*(1+Drivers!C21)^(A157/12))</f>
        <v>0</v>
      </c>
      <c r="G157" s="14">
        <f>IF(AND(A157&gt;0,A157&lt;=2),Drivers!C16/2,0)</f>
        <v>0</v>
      </c>
      <c r="H157" s="14">
        <f>IF(A157=(Drivers!C19+Drivers!C20),Drivers!C17*(1+Drivers!C21)^(A157/12),0)</f>
        <v>0</v>
      </c>
      <c r="I157" s="14">
        <f>IF(AND(A157&gt;0,A157&lt;=(Drivers!C19+Drivers!C20)),Drivers!C18*(1+Drivers!C23)^(A157/12),0)</f>
        <v>0</v>
      </c>
      <c r="J157" s="14">
        <f t="shared" si="1"/>
        <v>0</v>
      </c>
      <c r="K157" s="12">
        <f>IF(A157&gt;(Drivers!C19+Drivers!C20),MIN(1,0.5+0.5*(A157-(Drivers!C19+Drivers!C20))/Drivers!C39),0)</f>
        <v>1</v>
      </c>
      <c r="L157" s="14">
        <f>Drivers!C2*(B157-B156)*Drivers!C24*(1+Drivers!C22)^(A157/12)*Drivers!C25*K157</f>
        <v>833471.3471</v>
      </c>
      <c r="M157" s="14">
        <f>L157*Drivers!C26</f>
        <v>166694.2694</v>
      </c>
      <c r="N157" s="14">
        <f>(L157+M157)*Drivers!C27</f>
        <v>350057.9658</v>
      </c>
      <c r="O157" s="14">
        <f>IF(A157&gt;(Drivers!C19+Drivers!C20),Drivers!C28/12*(1+Drivers!C23)^(A157/12),0)</f>
        <v>553213.4256</v>
      </c>
      <c r="P157" s="14">
        <f>(L157+M157)*Drivers!C29</f>
        <v>40006.62466</v>
      </c>
      <c r="Q157" s="14">
        <f>Drivers!C3*Drivers!C30*(1+Drivers!C22)^(A157/12)*Drivers!C31*(1-Drivers!C32 )*K157</f>
        <v>63481.24059</v>
      </c>
      <c r="R157" s="14">
        <f>IF(A157&gt;(Drivers!C19+Drivers!C20),Drivers!C33/12*(1+Drivers!C23)^(A157/12),0)</f>
        <v>82982.01385</v>
      </c>
      <c r="S157" s="14">
        <f t="shared" si="2"/>
        <v>37386.82716</v>
      </c>
      <c r="T157" s="14">
        <f t="shared" si="6"/>
        <v>713325.5237</v>
      </c>
      <c r="U157" s="14">
        <f>IF(AND(A157&gt;Drivers!C19,A157&lt;=(Drivers!C19+Drivers!C20)),Summary!C31*D157,0)</f>
        <v>0</v>
      </c>
      <c r="V157" s="14">
        <f>IF(A157&lt;=(Drivers!C19+Drivers!C20),(T157+U157/2)*Drivers!C36/12,T157*Drivers!C36/12)</f>
        <v>6836.036268</v>
      </c>
      <c r="W157" s="14">
        <f>IF(A157&gt;(Drivers!C19+Drivers!C20),MIN(T157,MAX(0,Summary!C32/12-V157)),0)</f>
        <v>7489.150854</v>
      </c>
      <c r="X157" s="14">
        <f>IF(A157=(Drivers!C19+1),Summary!C31*Drivers!C38,0)</f>
        <v>0</v>
      </c>
      <c r="Y157" s="14">
        <f t="shared" si="3"/>
        <v>705836.3728</v>
      </c>
      <c r="Z157" s="14">
        <f t="shared" si="4"/>
        <v>23061.64004</v>
      </c>
      <c r="AA157" s="14">
        <f t="shared" si="7"/>
        <v>-109008806.1</v>
      </c>
      <c r="AB157" s="14">
        <f t="shared" si="5"/>
        <v>37386.82716</v>
      </c>
      <c r="AC157" s="14">
        <f>(E157+F157+G157+H157)*Drivers!C45</f>
        <v>0</v>
      </c>
      <c r="AD157" s="14">
        <f>IF(A157&lt;=Summary!C18,AB157+IF(A157=Summary!C18,Summary!C40,0),0)</f>
        <v>37386.82716</v>
      </c>
      <c r="AE157" s="14">
        <f>IF(A157&lt;=Summary!C18,Z157+IF(A157=Summary!C18,Summary!C40-Y157,0),0)</f>
        <v>23061.64004</v>
      </c>
      <c r="AF157" s="14">
        <f>AD157-IF(A157=0,Drivers!C44,0)</f>
        <v>37386.82716</v>
      </c>
      <c r="AG157" s="14">
        <f t="shared" si="8"/>
        <v>-108492172.1</v>
      </c>
    </row>
    <row r="158">
      <c r="A158" s="2">
        <v>156.0</v>
      </c>
      <c r="B158" s="15">
        <f>EDATE(Setup!B2,A158)</f>
        <v>51027</v>
      </c>
      <c r="C158" s="2" t="str">
        <f>IF(A158=0,"T0",IF(A158&lt;=Drivers!C19,"Preconstruction",IF(A158&lt;=(Drivers!C19+Drivers!C20),"Construction","Trading")))</f>
        <v>Trading</v>
      </c>
      <c r="D158" s="12">
        <f t="array" ref="D158">IF(AND(A158&gt;Drivers!C19,A158&lt;=(Drivers!C19+Drivers!C20)),SIN(PI()*(A158-Drivers!C19-0.5)/Drivers!C20)/SUMPRODUCT(SIN(PI()*(SEQUENCE(Drivers!C20,1)-0.5)/Drivers!C20)),0)</f>
        <v>0</v>
      </c>
      <c r="E158" s="14">
        <f>(Summary!C10+Summary!C12)*D158*(1+Drivers!C21)^(A158/12)</f>
        <v>0</v>
      </c>
      <c r="F158" s="14">
        <f>IF(AND(A158&gt;0,A158&lt;=Drivers!C19),Summary!C11*Drivers!C40/Drivers!C19*(1+Drivers!C21)^(A158/12),Summary!C11*(1-Drivers!C40 )*D158*(1+Drivers!C21)^(A158/12))</f>
        <v>0</v>
      </c>
      <c r="G158" s="14">
        <f>IF(AND(A158&gt;0,A158&lt;=2),Drivers!C16/2,0)</f>
        <v>0</v>
      </c>
      <c r="H158" s="14">
        <f>IF(A158=(Drivers!C19+Drivers!C20),Drivers!C17*(1+Drivers!C21)^(A158/12),0)</f>
        <v>0</v>
      </c>
      <c r="I158" s="14">
        <f>IF(AND(A158&gt;0,A158&lt;=(Drivers!C19+Drivers!C20)),Drivers!C18*(1+Drivers!C23)^(A158/12),0)</f>
        <v>0</v>
      </c>
      <c r="J158" s="14">
        <f t="shared" si="1"/>
        <v>0</v>
      </c>
      <c r="K158" s="12">
        <f>IF(A158&gt;(Drivers!C19+Drivers!C20),MIN(1,0.5+0.5*(A158-(Drivers!C19+Drivers!C20))/Drivers!C39),0)</f>
        <v>1</v>
      </c>
      <c r="L158" s="14">
        <f>Drivers!C2*(B158-B157)*Drivers!C24*(1+Drivers!C22)^(A158/12)*Drivers!C25*K158</f>
        <v>836199.9154</v>
      </c>
      <c r="M158" s="14">
        <f>L158*Drivers!C26</f>
        <v>167239.9831</v>
      </c>
      <c r="N158" s="14">
        <f>(L158+M158)*Drivers!C27</f>
        <v>351203.9645</v>
      </c>
      <c r="O158" s="14">
        <f>IF(A158&gt;(Drivers!C19+Drivers!C20),Drivers!C28/12*(1+Drivers!C23)^(A158/12),0)</f>
        <v>555024.5024</v>
      </c>
      <c r="P158" s="14">
        <f>(L158+M158)*Drivers!C29</f>
        <v>40137.59594</v>
      </c>
      <c r="Q158" s="14">
        <f>Drivers!C3*Drivers!C30*(1+Drivers!C22)^(A158/12)*Drivers!C31*(1-Drivers!C32 )*K158</f>
        <v>63689.06165</v>
      </c>
      <c r="R158" s="14">
        <f>IF(A158&gt;(Drivers!C19+Drivers!C20),Drivers!C33/12*(1+Drivers!C23)^(A158/12),0)</f>
        <v>83253.67537</v>
      </c>
      <c r="S158" s="14">
        <f t="shared" si="2"/>
        <v>37509.2219</v>
      </c>
      <c r="T158" s="14">
        <f t="shared" si="6"/>
        <v>705836.3728</v>
      </c>
      <c r="U158" s="14">
        <f>IF(AND(A158&gt;Drivers!C19,A158&lt;=(Drivers!C19+Drivers!C20)),Summary!C31*D158,0)</f>
        <v>0</v>
      </c>
      <c r="V158" s="14">
        <f>IF(A158&lt;=(Drivers!C19+Drivers!C20),(T158+U158/2)*Drivers!C36/12,T158*Drivers!C36/12)</f>
        <v>6764.265239</v>
      </c>
      <c r="W158" s="14">
        <f>IF(A158&gt;(Drivers!C19+Drivers!C20),MIN(T158,MAX(0,Summary!C32/12-V158)),0)</f>
        <v>7560.921883</v>
      </c>
      <c r="X158" s="14">
        <f>IF(A158=(Drivers!C19+1),Summary!C31*Drivers!C38,0)</f>
        <v>0</v>
      </c>
      <c r="Y158" s="14">
        <f t="shared" si="3"/>
        <v>698275.4509</v>
      </c>
      <c r="Z158" s="14">
        <f t="shared" si="4"/>
        <v>23184.03478</v>
      </c>
      <c r="AA158" s="14">
        <f t="shared" si="7"/>
        <v>-108985622.1</v>
      </c>
      <c r="AB158" s="14">
        <f t="shared" si="5"/>
        <v>37509.2219</v>
      </c>
      <c r="AC158" s="14">
        <f>(E158+F158+G158+H158)*Drivers!C45</f>
        <v>0</v>
      </c>
      <c r="AD158" s="14">
        <f>IF(A158&lt;=Summary!C18,AB158+IF(A158=Summary!C18,Summary!C40,0),0)</f>
        <v>37509.2219</v>
      </c>
      <c r="AE158" s="14">
        <f>IF(A158&lt;=Summary!C18,Z158+IF(A158=Summary!C18,Summary!C40-Y158,0),0)</f>
        <v>23184.03478</v>
      </c>
      <c r="AF158" s="14">
        <f>AD158-IF(A158=0,Drivers!C44,0)</f>
        <v>37509.2219</v>
      </c>
      <c r="AG158" s="14">
        <f t="shared" si="8"/>
        <v>-108454662.9</v>
      </c>
    </row>
    <row r="159">
      <c r="A159" s="2">
        <v>157.0</v>
      </c>
      <c r="B159" s="15">
        <f>EDATE(Setup!B2,A159)</f>
        <v>51057</v>
      </c>
      <c r="C159" s="2" t="str">
        <f>IF(A159=0,"T0",IF(A159&lt;=Drivers!C19,"Preconstruction",IF(A159&lt;=(Drivers!C19+Drivers!C20),"Construction","Trading")))</f>
        <v>Trading</v>
      </c>
      <c r="D159" s="12">
        <f t="array" ref="D159">IF(AND(A159&gt;Drivers!C19,A159&lt;=(Drivers!C19+Drivers!C20)),SIN(PI()*(A159-Drivers!C19-0.5)/Drivers!C20)/SUMPRODUCT(SIN(PI()*(SEQUENCE(Drivers!C20,1)-0.5)/Drivers!C20)),0)</f>
        <v>0</v>
      </c>
      <c r="E159" s="14">
        <f>(Summary!C10+Summary!C12)*D159*(1+Drivers!C21)^(A159/12)</f>
        <v>0</v>
      </c>
      <c r="F159" s="14">
        <f>IF(AND(A159&gt;0,A159&lt;=Drivers!C19),Summary!C11*Drivers!C40/Drivers!C19*(1+Drivers!C21)^(A159/12),Summary!C11*(1-Drivers!C40 )*D159*(1+Drivers!C21)^(A159/12))</f>
        <v>0</v>
      </c>
      <c r="G159" s="14">
        <f>IF(AND(A159&gt;0,A159&lt;=2),Drivers!C16/2,0)</f>
        <v>0</v>
      </c>
      <c r="H159" s="14">
        <f>IF(A159=(Drivers!C19+Drivers!C20),Drivers!C17*(1+Drivers!C21)^(A159/12),0)</f>
        <v>0</v>
      </c>
      <c r="I159" s="14">
        <f>IF(AND(A159&gt;0,A159&lt;=(Drivers!C19+Drivers!C20)),Drivers!C18*(1+Drivers!C23)^(A159/12),0)</f>
        <v>0</v>
      </c>
      <c r="J159" s="14">
        <f t="shared" si="1"/>
        <v>0</v>
      </c>
      <c r="K159" s="12">
        <f>IF(A159&gt;(Drivers!C19+Drivers!C20),MIN(1,0.5+0.5*(A159-(Drivers!C19+Drivers!C20))/Drivers!C39),0)</f>
        <v>1</v>
      </c>
      <c r="L159" s="14">
        <f>Drivers!C2*(B159-B158)*Drivers!C24*(1+Drivers!C22)^(A159/12)*Drivers!C25*K159</f>
        <v>811874.919</v>
      </c>
      <c r="M159" s="14">
        <f>L159*Drivers!C26</f>
        <v>162374.9838</v>
      </c>
      <c r="N159" s="14">
        <f>(L159+M159)*Drivers!C27</f>
        <v>340987.466</v>
      </c>
      <c r="O159" s="14">
        <f>IF(A159&gt;(Drivers!C19+Drivers!C20),Drivers!C28/12*(1+Drivers!C23)^(A159/12),0)</f>
        <v>556841.5082</v>
      </c>
      <c r="P159" s="14">
        <f>(L159+M159)*Drivers!C29</f>
        <v>38969.99611</v>
      </c>
      <c r="Q159" s="14">
        <f>Drivers!C3*Drivers!C30*(1+Drivers!C22)^(A159/12)*Drivers!C31*(1-Drivers!C32 )*K159</f>
        <v>63897.56307</v>
      </c>
      <c r="R159" s="14">
        <f>IF(A159&gt;(Drivers!C19+Drivers!C20),Drivers!C33/12*(1+Drivers!C23)^(A159/12),0)</f>
        <v>83526.22623</v>
      </c>
      <c r="S159" s="14">
        <f t="shared" si="2"/>
        <v>17822.26931</v>
      </c>
      <c r="T159" s="14">
        <f t="shared" si="6"/>
        <v>698275.4509</v>
      </c>
      <c r="U159" s="14">
        <f>IF(AND(A159&gt;Drivers!C19,A159&lt;=(Drivers!C19+Drivers!C20)),Summary!C31*D159,0)</f>
        <v>0</v>
      </c>
      <c r="V159" s="14">
        <f>IF(A159&lt;=(Drivers!C19+Drivers!C20),(T159+U159/2)*Drivers!C36/12,T159*Drivers!C36/12)</f>
        <v>6691.806405</v>
      </c>
      <c r="W159" s="14">
        <f>IF(A159&gt;(Drivers!C19+Drivers!C20),MIN(T159,MAX(0,Summary!C32/12-V159)),0)</f>
        <v>7633.380718</v>
      </c>
      <c r="X159" s="14">
        <f>IF(A159=(Drivers!C19+1),Summary!C31*Drivers!C38,0)</f>
        <v>0</v>
      </c>
      <c r="Y159" s="14">
        <f t="shared" si="3"/>
        <v>690642.0702</v>
      </c>
      <c r="Z159" s="14">
        <f t="shared" si="4"/>
        <v>3497.08219</v>
      </c>
      <c r="AA159" s="14">
        <f t="shared" si="7"/>
        <v>-108982125</v>
      </c>
      <c r="AB159" s="14">
        <f t="shared" si="5"/>
        <v>17822.26931</v>
      </c>
      <c r="AC159" s="14">
        <f>(E159+F159+G159+H159)*Drivers!C45</f>
        <v>0</v>
      </c>
      <c r="AD159" s="14">
        <f>IF(A159&lt;=Summary!C18,AB159+IF(A159=Summary!C18,Summary!C40,0),0)</f>
        <v>17822.26931</v>
      </c>
      <c r="AE159" s="14">
        <f>IF(A159&lt;=Summary!C18,Z159+IF(A159=Summary!C18,Summary!C40-Y159,0),0)</f>
        <v>3497.08219</v>
      </c>
      <c r="AF159" s="14">
        <f>AD159-IF(A159=0,Drivers!C44,0)</f>
        <v>17822.26931</v>
      </c>
      <c r="AG159" s="14">
        <f t="shared" si="8"/>
        <v>-108436840.6</v>
      </c>
    </row>
    <row r="160">
      <c r="A160" s="2">
        <v>158.0</v>
      </c>
      <c r="B160" s="15">
        <f>EDATE(Setup!B2,A160)</f>
        <v>51088</v>
      </c>
      <c r="C160" s="2" t="str">
        <f>IF(A160=0,"T0",IF(A160&lt;=Drivers!C19,"Preconstruction",IF(A160&lt;=(Drivers!C19+Drivers!C20),"Construction","Trading")))</f>
        <v>Trading</v>
      </c>
      <c r="D160" s="12">
        <f t="array" ref="D160">IF(AND(A160&gt;Drivers!C19,A160&lt;=(Drivers!C19+Drivers!C20)),SIN(PI()*(A160-Drivers!C19-0.5)/Drivers!C20)/SUMPRODUCT(SIN(PI()*(SEQUENCE(Drivers!C20,1)-0.5)/Drivers!C20)),0)</f>
        <v>0</v>
      </c>
      <c r="E160" s="14">
        <f>(Summary!C10+Summary!C12)*D160*(1+Drivers!C21)^(A160/12)</f>
        <v>0</v>
      </c>
      <c r="F160" s="14">
        <f>IF(AND(A160&gt;0,A160&lt;=Drivers!C19),Summary!C11*Drivers!C40/Drivers!C19*(1+Drivers!C21)^(A160/12),Summary!C11*(1-Drivers!C40 )*D160*(1+Drivers!C21)^(A160/12))</f>
        <v>0</v>
      </c>
      <c r="G160" s="14">
        <f>IF(AND(A160&gt;0,A160&lt;=2),Drivers!C16/2,0)</f>
        <v>0</v>
      </c>
      <c r="H160" s="14">
        <f>IF(A160=(Drivers!C19+Drivers!C20),Drivers!C17*(1+Drivers!C21)^(A160/12),0)</f>
        <v>0</v>
      </c>
      <c r="I160" s="14">
        <f>IF(AND(A160&gt;0,A160&lt;=(Drivers!C19+Drivers!C20)),Drivers!C18*(1+Drivers!C23)^(A160/12),0)</f>
        <v>0</v>
      </c>
      <c r="J160" s="14">
        <f t="shared" si="1"/>
        <v>0</v>
      </c>
      <c r="K160" s="12">
        <f>IF(A160&gt;(Drivers!C19+Drivers!C20),MIN(1,0.5+0.5*(A160-(Drivers!C19+Drivers!C20))/Drivers!C39),0)</f>
        <v>1</v>
      </c>
      <c r="L160" s="14">
        <f>Drivers!C2*(B160-B159)*Drivers!C24*(1+Drivers!C22)^(A160/12)*Drivers!C25*K160</f>
        <v>841683.8791</v>
      </c>
      <c r="M160" s="14">
        <f>L160*Drivers!C26</f>
        <v>168336.7758</v>
      </c>
      <c r="N160" s="14">
        <f>(L160+M160)*Drivers!C27</f>
        <v>353507.2292</v>
      </c>
      <c r="O160" s="14">
        <f>IF(A160&gt;(Drivers!C19+Drivers!C20),Drivers!C28/12*(1+Drivers!C23)^(A160/12),0)</f>
        <v>558664.4624</v>
      </c>
      <c r="P160" s="14">
        <f>(L160+M160)*Drivers!C29</f>
        <v>40400.8262</v>
      </c>
      <c r="Q160" s="14">
        <f>Drivers!C3*Drivers!C30*(1+Drivers!C22)^(A160/12)*Drivers!C31*(1-Drivers!C32 )*K160</f>
        <v>64106.74706</v>
      </c>
      <c r="R160" s="14">
        <f>IF(A160&gt;(Drivers!C19+Drivers!C20),Drivers!C33/12*(1+Drivers!C23)^(A160/12),0)</f>
        <v>83799.66936</v>
      </c>
      <c r="S160" s="14">
        <f t="shared" si="2"/>
        <v>37755.21477</v>
      </c>
      <c r="T160" s="14">
        <f t="shared" si="6"/>
        <v>690642.0702</v>
      </c>
      <c r="U160" s="14">
        <f>IF(AND(A160&gt;Drivers!C19,A160&lt;=(Drivers!C19+Drivers!C20)),Summary!C31*D160,0)</f>
        <v>0</v>
      </c>
      <c r="V160" s="14">
        <f>IF(A160&lt;=(Drivers!C19+Drivers!C20),(T160+U160/2)*Drivers!C36/12,T160*Drivers!C36/12)</f>
        <v>6618.653173</v>
      </c>
      <c r="W160" s="14">
        <f>IF(A160&gt;(Drivers!C19+Drivers!C20),MIN(T160,MAX(0,Summary!C32/12-V160)),0)</f>
        <v>7706.53395</v>
      </c>
      <c r="X160" s="14">
        <f>IF(A160=(Drivers!C19+1),Summary!C31*Drivers!C38,0)</f>
        <v>0</v>
      </c>
      <c r="Y160" s="14">
        <f t="shared" si="3"/>
        <v>682935.5363</v>
      </c>
      <c r="Z160" s="14">
        <f t="shared" si="4"/>
        <v>23430.02765</v>
      </c>
      <c r="AA160" s="14">
        <f t="shared" si="7"/>
        <v>-108958694.9</v>
      </c>
      <c r="AB160" s="14">
        <f t="shared" si="5"/>
        <v>37755.21477</v>
      </c>
      <c r="AC160" s="14">
        <f>(E160+F160+G160+H160)*Drivers!C45</f>
        <v>0</v>
      </c>
      <c r="AD160" s="14">
        <f>IF(A160&lt;=Summary!C18,AB160+IF(A160=Summary!C18,Summary!C40,0),0)</f>
        <v>37755.21477</v>
      </c>
      <c r="AE160" s="14">
        <f>IF(A160&lt;=Summary!C18,Z160+IF(A160=Summary!C18,Summary!C40-Y160,0),0)</f>
        <v>23430.02765</v>
      </c>
      <c r="AF160" s="14">
        <f>AD160-IF(A160=0,Drivers!C44,0)</f>
        <v>37755.21477</v>
      </c>
      <c r="AG160" s="14">
        <f t="shared" si="8"/>
        <v>-108399085.4</v>
      </c>
    </row>
    <row r="161">
      <c r="A161" s="2">
        <v>159.0</v>
      </c>
      <c r="B161" s="15">
        <f>EDATE(Setup!B2,A161)</f>
        <v>51118</v>
      </c>
      <c r="C161" s="2" t="str">
        <f>IF(A161=0,"T0",IF(A161&lt;=Drivers!C19,"Preconstruction",IF(A161&lt;=(Drivers!C19+Drivers!C20),"Construction","Trading")))</f>
        <v>Trading</v>
      </c>
      <c r="D161" s="12">
        <f t="array" ref="D161">IF(AND(A161&gt;Drivers!C19,A161&lt;=(Drivers!C19+Drivers!C20)),SIN(PI()*(A161-Drivers!C19-0.5)/Drivers!C20)/SUMPRODUCT(SIN(PI()*(SEQUENCE(Drivers!C20,1)-0.5)/Drivers!C20)),0)</f>
        <v>0</v>
      </c>
      <c r="E161" s="14">
        <f>(Summary!C10+Summary!C12)*D161*(1+Drivers!C21)^(A161/12)</f>
        <v>0</v>
      </c>
      <c r="F161" s="14">
        <f>IF(AND(A161&gt;0,A161&lt;=Drivers!C19),Summary!C11*Drivers!C40/Drivers!C19*(1+Drivers!C21)^(A161/12),Summary!C11*(1-Drivers!C40 )*D161*(1+Drivers!C21)^(A161/12))</f>
        <v>0</v>
      </c>
      <c r="G161" s="14">
        <f>IF(AND(A161&gt;0,A161&lt;=2),Drivers!C16/2,0)</f>
        <v>0</v>
      </c>
      <c r="H161" s="14">
        <f>IF(A161=(Drivers!C19+Drivers!C20),Drivers!C17*(1+Drivers!C21)^(A161/12),0)</f>
        <v>0</v>
      </c>
      <c r="I161" s="14">
        <f>IF(AND(A161&gt;0,A161&lt;=(Drivers!C19+Drivers!C20)),Drivers!C18*(1+Drivers!C23)^(A161/12),0)</f>
        <v>0</v>
      </c>
      <c r="J161" s="14">
        <f t="shared" si="1"/>
        <v>0</v>
      </c>
      <c r="K161" s="12">
        <f>IF(A161&gt;(Drivers!C19+Drivers!C20),MIN(1,0.5+0.5*(A161-(Drivers!C19+Drivers!C20))/Drivers!C39),0)</f>
        <v>1</v>
      </c>
      <c r="L161" s="14">
        <f>Drivers!C2*(B161-B160)*Drivers!C24*(1+Drivers!C22)^(A161/12)*Drivers!C25*K161</f>
        <v>817199.3546</v>
      </c>
      <c r="M161" s="14">
        <f>L161*Drivers!C26</f>
        <v>163439.8709</v>
      </c>
      <c r="N161" s="14">
        <f>(L161+M161)*Drivers!C27</f>
        <v>343223.7289</v>
      </c>
      <c r="O161" s="14">
        <f>IF(A161&gt;(Drivers!C19+Drivers!C20),Drivers!C28/12*(1+Drivers!C23)^(A161/12),0)</f>
        <v>560493.3845</v>
      </c>
      <c r="P161" s="14">
        <f>(L161+M161)*Drivers!C29</f>
        <v>39225.56902</v>
      </c>
      <c r="Q161" s="14">
        <f>Drivers!C3*Drivers!C30*(1+Drivers!C22)^(A161/12)*Drivers!C31*(1-Drivers!C32 )*K161</f>
        <v>64316.61587</v>
      </c>
      <c r="R161" s="14">
        <f>IF(A161&gt;(Drivers!C19+Drivers!C20),Drivers!C33/12*(1+Drivers!C23)^(A161/12),0)</f>
        <v>84074.00768</v>
      </c>
      <c r="S161" s="14">
        <f t="shared" si="2"/>
        <v>17939.15126</v>
      </c>
      <c r="T161" s="14">
        <f t="shared" si="6"/>
        <v>682935.5363</v>
      </c>
      <c r="U161" s="14">
        <f>IF(AND(A161&gt;Drivers!C19,A161&lt;=(Drivers!C19+Drivers!C20)),Summary!C31*D161,0)</f>
        <v>0</v>
      </c>
      <c r="V161" s="14">
        <f>IF(A161&lt;=(Drivers!C19+Drivers!C20),(T161+U161/2)*Drivers!C36/12,T161*Drivers!C36/12)</f>
        <v>6544.798889</v>
      </c>
      <c r="W161" s="14">
        <f>IF(A161&gt;(Drivers!C19+Drivers!C20),MIN(T161,MAX(0,Summary!C32/12-V161)),0)</f>
        <v>7780.388234</v>
      </c>
      <c r="X161" s="14">
        <f>IF(A161=(Drivers!C19+1),Summary!C31*Drivers!C38,0)</f>
        <v>0</v>
      </c>
      <c r="Y161" s="14">
        <f t="shared" si="3"/>
        <v>675155.148</v>
      </c>
      <c r="Z161" s="14">
        <f t="shared" si="4"/>
        <v>3613.964142</v>
      </c>
      <c r="AA161" s="14">
        <f t="shared" si="7"/>
        <v>-108955081</v>
      </c>
      <c r="AB161" s="14">
        <f t="shared" si="5"/>
        <v>17939.15126</v>
      </c>
      <c r="AC161" s="14">
        <f>(E161+F161+G161+H161)*Drivers!C45</f>
        <v>0</v>
      </c>
      <c r="AD161" s="14">
        <f>IF(A161&lt;=Summary!C18,AB161+IF(A161=Summary!C18,Summary!C40,0),0)</f>
        <v>17939.15126</v>
      </c>
      <c r="AE161" s="14">
        <f>IF(A161&lt;=Summary!C18,Z161+IF(A161=Summary!C18,Summary!C40-Y161,0),0)</f>
        <v>3613.964142</v>
      </c>
      <c r="AF161" s="14">
        <f>AD161-IF(A161=0,Drivers!C44,0)</f>
        <v>17939.15126</v>
      </c>
      <c r="AG161" s="14">
        <f t="shared" si="8"/>
        <v>-108381146.3</v>
      </c>
    </row>
    <row r="162">
      <c r="A162" s="2">
        <v>160.0</v>
      </c>
      <c r="B162" s="15">
        <f>EDATE(Setup!B2,A162)</f>
        <v>51149</v>
      </c>
      <c r="C162" s="2" t="str">
        <f>IF(A162=0,"T0",IF(A162&lt;=Drivers!C19,"Preconstruction",IF(A162&lt;=(Drivers!C19+Drivers!C20),"Construction","Trading")))</f>
        <v>Trading</v>
      </c>
      <c r="D162" s="12">
        <f t="array" ref="D162">IF(AND(A162&gt;Drivers!C19,A162&lt;=(Drivers!C19+Drivers!C20)),SIN(PI()*(A162-Drivers!C19-0.5)/Drivers!C20)/SUMPRODUCT(SIN(PI()*(SEQUENCE(Drivers!C20,1)-0.5)/Drivers!C20)),0)</f>
        <v>0</v>
      </c>
      <c r="E162" s="14">
        <f>(Summary!C10+Summary!C12)*D162*(1+Drivers!C21)^(A162/12)</f>
        <v>0</v>
      </c>
      <c r="F162" s="14">
        <f>IF(AND(A162&gt;0,A162&lt;=Drivers!C19),Summary!C11*Drivers!C40/Drivers!C19*(1+Drivers!C21)^(A162/12),Summary!C11*(1-Drivers!C40 )*D162*(1+Drivers!C21)^(A162/12))</f>
        <v>0</v>
      </c>
      <c r="G162" s="14">
        <f>IF(AND(A162&gt;0,A162&lt;=2),Drivers!C16/2,0)</f>
        <v>0</v>
      </c>
      <c r="H162" s="14">
        <f>IF(A162=(Drivers!C19+Drivers!C20),Drivers!C17*(1+Drivers!C21)^(A162/12),0)</f>
        <v>0</v>
      </c>
      <c r="I162" s="14">
        <f>IF(AND(A162&gt;0,A162&lt;=(Drivers!C19+Drivers!C20)),Drivers!C18*(1+Drivers!C23)^(A162/12),0)</f>
        <v>0</v>
      </c>
      <c r="J162" s="14">
        <f t="shared" si="1"/>
        <v>0</v>
      </c>
      <c r="K162" s="12">
        <f>IF(A162&gt;(Drivers!C19+Drivers!C20),MIN(1,0.5+0.5*(A162-(Drivers!C19+Drivers!C20))/Drivers!C39),0)</f>
        <v>1</v>
      </c>
      <c r="L162" s="14">
        <f>Drivers!C2*(B162-B161)*Drivers!C24*(1+Drivers!C22)^(A162/12)*Drivers!C25*K162</f>
        <v>847203.8077</v>
      </c>
      <c r="M162" s="14">
        <f>L162*Drivers!C26</f>
        <v>169440.7615</v>
      </c>
      <c r="N162" s="14">
        <f>(L162+M162)*Drivers!C27</f>
        <v>355825.5992</v>
      </c>
      <c r="O162" s="14">
        <f>IF(A162&gt;(Drivers!C19+Drivers!C20),Drivers!C28/12*(1+Drivers!C23)^(A162/12),0)</f>
        <v>562328.294</v>
      </c>
      <c r="P162" s="14">
        <f>(L162+M162)*Drivers!C29</f>
        <v>40665.78277</v>
      </c>
      <c r="Q162" s="14">
        <f>Drivers!C3*Drivers!C30*(1+Drivers!C22)^(A162/12)*Drivers!C31*(1-Drivers!C32 )*K162</f>
        <v>64527.17174</v>
      </c>
      <c r="R162" s="14">
        <f>IF(A162&gt;(Drivers!C19+Drivers!C20),Drivers!C33/12*(1+Drivers!C23)^(A162/12),0)</f>
        <v>84349.2441</v>
      </c>
      <c r="S162" s="14">
        <f t="shared" si="2"/>
        <v>38002.8209</v>
      </c>
      <c r="T162" s="14">
        <f t="shared" si="6"/>
        <v>675155.148</v>
      </c>
      <c r="U162" s="14">
        <f>IF(AND(A162&gt;Drivers!C19,A162&lt;=(Drivers!C19+Drivers!C20)),Summary!C31*D162,0)</f>
        <v>0</v>
      </c>
      <c r="V162" s="14">
        <f>IF(A162&lt;=(Drivers!C19+Drivers!C20),(T162+U162/2)*Drivers!C36/12,T162*Drivers!C36/12)</f>
        <v>6470.236835</v>
      </c>
      <c r="W162" s="14">
        <f>IF(A162&gt;(Drivers!C19+Drivers!C20),MIN(T162,MAX(0,Summary!C32/12-V162)),0)</f>
        <v>7854.950288</v>
      </c>
      <c r="X162" s="14">
        <f>IF(A162=(Drivers!C19+1),Summary!C31*Drivers!C38,0)</f>
        <v>0</v>
      </c>
      <c r="Y162" s="14">
        <f t="shared" si="3"/>
        <v>667300.1977</v>
      </c>
      <c r="Z162" s="14">
        <f t="shared" si="4"/>
        <v>23677.63378</v>
      </c>
      <c r="AA162" s="14">
        <f t="shared" si="7"/>
        <v>-108931403.4</v>
      </c>
      <c r="AB162" s="14">
        <f t="shared" si="5"/>
        <v>38002.8209</v>
      </c>
      <c r="AC162" s="14">
        <f>(E162+F162+G162+H162)*Drivers!C45</f>
        <v>0</v>
      </c>
      <c r="AD162" s="14">
        <f>IF(A162&lt;=Summary!C18,AB162+IF(A162=Summary!C18,Summary!C40,0),0)</f>
        <v>38002.8209</v>
      </c>
      <c r="AE162" s="14">
        <f>IF(A162&lt;=Summary!C18,Z162+IF(A162=Summary!C18,Summary!C40-Y162,0),0)</f>
        <v>23677.63378</v>
      </c>
      <c r="AF162" s="14">
        <f>AD162-IF(A162=0,Drivers!C44,0)</f>
        <v>38002.8209</v>
      </c>
      <c r="AG162" s="14">
        <f t="shared" si="8"/>
        <v>-108343143.4</v>
      </c>
    </row>
    <row r="163">
      <c r="A163" s="2">
        <v>161.0</v>
      </c>
      <c r="B163" s="15">
        <f>EDATE(Setup!B2,A163)</f>
        <v>51180</v>
      </c>
      <c r="C163" s="2" t="str">
        <f>IF(A163=0,"T0",IF(A163&lt;=Drivers!C19,"Preconstruction",IF(A163&lt;=(Drivers!C19+Drivers!C20),"Construction","Trading")))</f>
        <v>Trading</v>
      </c>
      <c r="D163" s="12">
        <f t="array" ref="D163">IF(AND(A163&gt;Drivers!C19,A163&lt;=(Drivers!C19+Drivers!C20)),SIN(PI()*(A163-Drivers!C19-0.5)/Drivers!C20)/SUMPRODUCT(SIN(PI()*(SEQUENCE(Drivers!C20,1)-0.5)/Drivers!C20)),0)</f>
        <v>0</v>
      </c>
      <c r="E163" s="14">
        <f>(Summary!C10+Summary!C12)*D163*(1+Drivers!C21)^(A163/12)</f>
        <v>0</v>
      </c>
      <c r="F163" s="14">
        <f>IF(AND(A163&gt;0,A163&lt;=Drivers!C19),Summary!C11*Drivers!C40/Drivers!C19*(1+Drivers!C21)^(A163/12),Summary!C11*(1-Drivers!C40 )*D163*(1+Drivers!C21)^(A163/12))</f>
        <v>0</v>
      </c>
      <c r="G163" s="14">
        <f>IF(AND(A163&gt;0,A163&lt;=2),Drivers!C16/2,0)</f>
        <v>0</v>
      </c>
      <c r="H163" s="14">
        <f>IF(A163=(Drivers!C19+Drivers!C20),Drivers!C17*(1+Drivers!C21)^(A163/12),0)</f>
        <v>0</v>
      </c>
      <c r="I163" s="14">
        <f>IF(AND(A163&gt;0,A163&lt;=(Drivers!C19+Drivers!C20)),Drivers!C18*(1+Drivers!C23)^(A163/12),0)</f>
        <v>0</v>
      </c>
      <c r="J163" s="14">
        <f t="shared" si="1"/>
        <v>0</v>
      </c>
      <c r="K163" s="12">
        <f>IF(A163&gt;(Drivers!C19+Drivers!C20),MIN(1,0.5+0.5*(A163-(Drivers!C19+Drivers!C20))/Drivers!C39),0)</f>
        <v>1</v>
      </c>
      <c r="L163" s="14">
        <f>Drivers!C2*(B163-B162)*Drivers!C24*(1+Drivers!C22)^(A163/12)*Drivers!C25*K163</f>
        <v>849977.3325</v>
      </c>
      <c r="M163" s="14">
        <f>L163*Drivers!C26</f>
        <v>169995.4665</v>
      </c>
      <c r="N163" s="14">
        <f>(L163+M163)*Drivers!C27</f>
        <v>356990.4797</v>
      </c>
      <c r="O163" s="14">
        <f>IF(A163&gt;(Drivers!C19+Drivers!C20),Drivers!C28/12*(1+Drivers!C23)^(A163/12),0)</f>
        <v>564169.2105</v>
      </c>
      <c r="P163" s="14">
        <f>(L163+M163)*Drivers!C29</f>
        <v>40798.91196</v>
      </c>
      <c r="Q163" s="14">
        <f>Drivers!C3*Drivers!C30*(1+Drivers!C22)^(A163/12)*Drivers!C31*(1-Drivers!C32 )*K163</f>
        <v>64738.41691</v>
      </c>
      <c r="R163" s="14">
        <f>IF(A163&gt;(Drivers!C19+Drivers!C20),Drivers!C33/12*(1+Drivers!C23)^(A163/12),0)</f>
        <v>84625.38158</v>
      </c>
      <c r="S163" s="14">
        <f t="shared" si="2"/>
        <v>38127.23225</v>
      </c>
      <c r="T163" s="14">
        <f t="shared" si="6"/>
        <v>667300.1977</v>
      </c>
      <c r="U163" s="14">
        <f>IF(AND(A163&gt;Drivers!C19,A163&lt;=(Drivers!C19+Drivers!C20)),Summary!C31*D163,0)</f>
        <v>0</v>
      </c>
      <c r="V163" s="14">
        <f>IF(A163&lt;=(Drivers!C19+Drivers!C20),(T163+U163/2)*Drivers!C36/12,T163*Drivers!C36/12)</f>
        <v>6394.960228</v>
      </c>
      <c r="W163" s="14">
        <f>IF(A163&gt;(Drivers!C19+Drivers!C20),MIN(T163,MAX(0,Summary!C32/12-V163)),0)</f>
        <v>7930.226894</v>
      </c>
      <c r="X163" s="14">
        <f>IF(A163=(Drivers!C19+1),Summary!C31*Drivers!C38,0)</f>
        <v>0</v>
      </c>
      <c r="Y163" s="14">
        <f t="shared" si="3"/>
        <v>659369.9708</v>
      </c>
      <c r="Z163" s="14">
        <f t="shared" si="4"/>
        <v>23802.04513</v>
      </c>
      <c r="AA163" s="14">
        <f t="shared" si="7"/>
        <v>-108907601.3</v>
      </c>
      <c r="AB163" s="14">
        <f t="shared" si="5"/>
        <v>38127.23225</v>
      </c>
      <c r="AC163" s="14">
        <f>(E163+F163+G163+H163)*Drivers!C45</f>
        <v>0</v>
      </c>
      <c r="AD163" s="14">
        <f>IF(A163&lt;=Summary!C18,AB163+IF(A163=Summary!C18,Summary!C40,0),0)</f>
        <v>38127.23225</v>
      </c>
      <c r="AE163" s="14">
        <f>IF(A163&lt;=Summary!C18,Z163+IF(A163=Summary!C18,Summary!C40-Y163,0),0)</f>
        <v>23802.04513</v>
      </c>
      <c r="AF163" s="14">
        <f>AD163-IF(A163=0,Drivers!C44,0)</f>
        <v>38127.23225</v>
      </c>
      <c r="AG163" s="14">
        <f t="shared" si="8"/>
        <v>-108305016.2</v>
      </c>
    </row>
    <row r="164">
      <c r="A164" s="2">
        <v>162.0</v>
      </c>
      <c r="B164" s="15">
        <f>EDATE(Setup!B2,A164)</f>
        <v>51209</v>
      </c>
      <c r="C164" s="2" t="str">
        <f>IF(A164=0,"T0",IF(A164&lt;=Drivers!C19,"Preconstruction",IF(A164&lt;=(Drivers!C19+Drivers!C20),"Construction","Trading")))</f>
        <v>Trading</v>
      </c>
      <c r="D164" s="12">
        <f t="array" ref="D164">IF(AND(A164&gt;Drivers!C19,A164&lt;=(Drivers!C19+Drivers!C20)),SIN(PI()*(A164-Drivers!C19-0.5)/Drivers!C20)/SUMPRODUCT(SIN(PI()*(SEQUENCE(Drivers!C20,1)-0.5)/Drivers!C20)),0)</f>
        <v>0</v>
      </c>
      <c r="E164" s="14">
        <f>(Summary!C10+Summary!C12)*D164*(1+Drivers!C21)^(A164/12)</f>
        <v>0</v>
      </c>
      <c r="F164" s="14">
        <f>IF(AND(A164&gt;0,A164&lt;=Drivers!C19),Summary!C11*Drivers!C40/Drivers!C19*(1+Drivers!C21)^(A164/12),Summary!C11*(1-Drivers!C40 )*D164*(1+Drivers!C21)^(A164/12))</f>
        <v>0</v>
      </c>
      <c r="G164" s="14">
        <f>IF(AND(A164&gt;0,A164&lt;=2),Drivers!C16/2,0)</f>
        <v>0</v>
      </c>
      <c r="H164" s="14">
        <f>IF(A164=(Drivers!C19+Drivers!C20),Drivers!C17*(1+Drivers!C21)^(A164/12),0)</f>
        <v>0</v>
      </c>
      <c r="I164" s="14">
        <f>IF(AND(A164&gt;0,A164&lt;=(Drivers!C19+Drivers!C20)),Drivers!C18*(1+Drivers!C23)^(A164/12),0)</f>
        <v>0</v>
      </c>
      <c r="J164" s="14">
        <f t="shared" si="1"/>
        <v>0</v>
      </c>
      <c r="K164" s="12">
        <f>IF(A164&gt;(Drivers!C19+Drivers!C20),MIN(1,0.5+0.5*(A164-(Drivers!C19+Drivers!C20))/Drivers!C39),0)</f>
        <v>1</v>
      </c>
      <c r="L164" s="14">
        <f>Drivers!C2*(B164-B163)*Drivers!C24*(1+Drivers!C22)^(A164/12)*Drivers!C25*K164</f>
        <v>797743.167</v>
      </c>
      <c r="M164" s="14">
        <f>L164*Drivers!C26</f>
        <v>159548.6334</v>
      </c>
      <c r="N164" s="14">
        <f>(L164+M164)*Drivers!C27</f>
        <v>335052.1301</v>
      </c>
      <c r="O164" s="14">
        <f>IF(A164&gt;(Drivers!C19+Drivers!C20),Drivers!C28/12*(1+Drivers!C23)^(A164/12),0)</f>
        <v>566016.1537</v>
      </c>
      <c r="P164" s="14">
        <f>(L164+M164)*Drivers!C29</f>
        <v>38291.67202</v>
      </c>
      <c r="Q164" s="14">
        <f>Drivers!C3*Drivers!C30*(1+Drivers!C22)^(A164/12)*Drivers!C31*(1-Drivers!C32 )*K164</f>
        <v>64950.35364</v>
      </c>
      <c r="R164" s="14">
        <f>IF(A164&gt;(Drivers!C19+Drivers!C20),Drivers!C33/12*(1+Drivers!C23)^(A164/12),0)</f>
        <v>84902.42305</v>
      </c>
      <c r="S164" s="14">
        <f t="shared" si="2"/>
        <v>-2020.224856</v>
      </c>
      <c r="T164" s="14">
        <f t="shared" si="6"/>
        <v>659369.9708</v>
      </c>
      <c r="U164" s="14">
        <f>IF(AND(A164&gt;Drivers!C19,A164&lt;=(Drivers!C19+Drivers!C20)),Summary!C31*D164,0)</f>
        <v>0</v>
      </c>
      <c r="V164" s="14">
        <f>IF(A164&lt;=(Drivers!C19+Drivers!C20),(T164+U164/2)*Drivers!C36/12,T164*Drivers!C36/12)</f>
        <v>6318.962221</v>
      </c>
      <c r="W164" s="14">
        <f>IF(A164&gt;(Drivers!C19+Drivers!C20),MIN(T164,MAX(0,Summary!C32/12-V164)),0)</f>
        <v>8006.224902</v>
      </c>
      <c r="X164" s="14">
        <f>IF(A164=(Drivers!C19+1),Summary!C31*Drivers!C38,0)</f>
        <v>0</v>
      </c>
      <c r="Y164" s="14">
        <f t="shared" si="3"/>
        <v>651363.7459</v>
      </c>
      <c r="Z164" s="14">
        <f t="shared" si="4"/>
        <v>-16345.41198</v>
      </c>
      <c r="AA164" s="14">
        <f t="shared" si="7"/>
        <v>-108923946.7</v>
      </c>
      <c r="AB164" s="14">
        <f t="shared" si="5"/>
        <v>-2020.224856</v>
      </c>
      <c r="AC164" s="14">
        <f>(E164+F164+G164+H164)*Drivers!C45</f>
        <v>0</v>
      </c>
      <c r="AD164" s="14">
        <f>IF(A164&lt;=Summary!C18,AB164+IF(A164=Summary!C18,Summary!C40,0),0)</f>
        <v>3173935.357</v>
      </c>
      <c r="AE164" s="14">
        <f>IF(A164&lt;=Summary!C18,Z164+IF(A164=Summary!C18,Summary!C40-Y164,0),0)</f>
        <v>2508246.424</v>
      </c>
      <c r="AF164" s="14">
        <f>AD164-IF(A164=0,Drivers!C44,0)</f>
        <v>3173935.357</v>
      </c>
      <c r="AG164" s="14">
        <f t="shared" si="8"/>
        <v>-108307036.4</v>
      </c>
    </row>
    <row r="165">
      <c r="A165" s="2">
        <v>163.0</v>
      </c>
      <c r="B165" s="15">
        <f>EDATE(Setup!B2,A165)</f>
        <v>51240</v>
      </c>
      <c r="C165" s="2" t="str">
        <f>IF(A165=0,"T0",IF(A165&lt;=Drivers!C19,"Preconstruction",IF(A165&lt;=(Drivers!C19+Drivers!C20),"Construction","Trading")))</f>
        <v>Trading</v>
      </c>
      <c r="D165" s="12">
        <f t="array" ref="D165">IF(AND(A165&gt;Drivers!C19,A165&lt;=(Drivers!C19+Drivers!C20)),SIN(PI()*(A165-Drivers!C19-0.5)/Drivers!C20)/SUMPRODUCT(SIN(PI()*(SEQUENCE(Drivers!C20,1)-0.5)/Drivers!C20)),0)</f>
        <v>0</v>
      </c>
      <c r="E165" s="14">
        <f>(Summary!C10+Summary!C12)*D165*(1+Drivers!C21)^(A165/12)</f>
        <v>0</v>
      </c>
      <c r="F165" s="14">
        <f>IF(AND(A165&gt;0,A165&lt;=Drivers!C19),Summary!C11*Drivers!C40/Drivers!C19*(1+Drivers!C21)^(A165/12),Summary!C11*(1-Drivers!C40 )*D165*(1+Drivers!C21)^(A165/12))</f>
        <v>0</v>
      </c>
      <c r="G165" s="14">
        <f>IF(AND(A165&gt;0,A165&lt;=2),Drivers!C16/2,0)</f>
        <v>0</v>
      </c>
      <c r="H165" s="14">
        <f>IF(A165=(Drivers!C19+Drivers!C20),Drivers!C17*(1+Drivers!C21)^(A165/12),0)</f>
        <v>0</v>
      </c>
      <c r="I165" s="14">
        <f>IF(AND(A165&gt;0,A165&lt;=(Drivers!C19+Drivers!C20)),Drivers!C18*(1+Drivers!C23)^(A165/12),0)</f>
        <v>0</v>
      </c>
      <c r="J165" s="14">
        <f t="shared" si="1"/>
        <v>0</v>
      </c>
      <c r="K165" s="12">
        <f>IF(A165&gt;(Drivers!C19+Drivers!C20),MIN(1,0.5+0.5*(A165-(Drivers!C19+Drivers!C20))/Drivers!C39),0)</f>
        <v>1</v>
      </c>
      <c r="L165" s="14">
        <f>Drivers!C2*(B165-B164)*Drivers!C24*(1+Drivers!C22)^(A165/12)*Drivers!C25*K165</f>
        <v>855551.6513</v>
      </c>
      <c r="M165" s="14">
        <f>L165*Drivers!C26</f>
        <v>171110.3303</v>
      </c>
      <c r="N165" s="14">
        <f>(L165+M165)*Drivers!C27</f>
        <v>359331.6935</v>
      </c>
      <c r="O165" s="14">
        <f>IF(A165&gt;(Drivers!C19+Drivers!C20),Drivers!C28/12*(1+Drivers!C23)^(A165/12),0)</f>
        <v>567869.1433</v>
      </c>
      <c r="P165" s="14">
        <f>(L165+M165)*Drivers!C29</f>
        <v>41066.47926</v>
      </c>
      <c r="Q165" s="14">
        <f>Drivers!C3*Drivers!C30*(1+Drivers!C22)^(A165/12)*Drivers!C31*(1-Drivers!C32 )*K165</f>
        <v>65162.98419</v>
      </c>
      <c r="R165" s="14">
        <f>IF(A165&gt;(Drivers!C19+Drivers!C20),Drivers!C33/12*(1+Drivers!C23)^(A165/12),0)</f>
        <v>85180.37149</v>
      </c>
      <c r="S165" s="14">
        <f t="shared" si="2"/>
        <v>38377.27815</v>
      </c>
      <c r="T165" s="14">
        <f t="shared" si="6"/>
        <v>651363.7459</v>
      </c>
      <c r="U165" s="14">
        <f>IF(AND(A165&gt;Drivers!C19,A165&lt;=(Drivers!C19+Drivers!C20)),Summary!C31*D165,0)</f>
        <v>0</v>
      </c>
      <c r="V165" s="14">
        <f>IF(A165&lt;=(Drivers!C19+Drivers!C20),(T165+U165/2)*Drivers!C36/12,T165*Drivers!C36/12)</f>
        <v>6242.235899</v>
      </c>
      <c r="W165" s="14">
        <f>IF(A165&gt;(Drivers!C19+Drivers!C20),MIN(T165,MAX(0,Summary!C32/12-V165)),0)</f>
        <v>8082.951224</v>
      </c>
      <c r="X165" s="14">
        <f>IF(A165=(Drivers!C19+1),Summary!C31*Drivers!C38,0)</f>
        <v>0</v>
      </c>
      <c r="Y165" s="14">
        <f t="shared" si="3"/>
        <v>643280.7947</v>
      </c>
      <c r="Z165" s="14">
        <f t="shared" si="4"/>
        <v>24052.09102</v>
      </c>
      <c r="AA165" s="14">
        <f t="shared" si="7"/>
        <v>-108899894.6</v>
      </c>
      <c r="AB165" s="14">
        <f t="shared" si="5"/>
        <v>38377.27815</v>
      </c>
      <c r="AC165" s="14">
        <f>(E165+F165+G165+H165)*Drivers!C45</f>
        <v>0</v>
      </c>
      <c r="AD165" s="14">
        <f>IF(A165&lt;=Summary!C18,AB165+IF(A165=Summary!C18,Summary!C40,0),0)</f>
        <v>0</v>
      </c>
      <c r="AE165" s="14">
        <f>IF(A165&lt;=Summary!C18,Z165+IF(A165=Summary!C18,Summary!C40-Y165,0),0)</f>
        <v>0</v>
      </c>
      <c r="AF165" s="14">
        <f>AD165-IF(A165=0,Drivers!C44,0)</f>
        <v>0</v>
      </c>
      <c r="AG165" s="14">
        <f t="shared" si="8"/>
        <v>-108268659.1</v>
      </c>
    </row>
    <row r="166">
      <c r="A166" s="2">
        <v>164.0</v>
      </c>
      <c r="B166" s="15">
        <f>EDATE(Setup!B2,A166)</f>
        <v>51270</v>
      </c>
      <c r="C166" s="2" t="str">
        <f>IF(A166=0,"T0",IF(A166&lt;=Drivers!C19,"Preconstruction",IF(A166&lt;=(Drivers!C19+Drivers!C20),"Construction","Trading")))</f>
        <v>Trading</v>
      </c>
      <c r="D166" s="12">
        <f t="array" ref="D166">IF(AND(A166&gt;Drivers!C19,A166&lt;=(Drivers!C19+Drivers!C20)),SIN(PI()*(A166-Drivers!C19-0.5)/Drivers!C20)/SUMPRODUCT(SIN(PI()*(SEQUENCE(Drivers!C20,1)-0.5)/Drivers!C20)),0)</f>
        <v>0</v>
      </c>
      <c r="E166" s="14">
        <f>(Summary!C10+Summary!C12)*D166*(1+Drivers!C21)^(A166/12)</f>
        <v>0</v>
      </c>
      <c r="F166" s="14">
        <f>IF(AND(A166&gt;0,A166&lt;=Drivers!C19),Summary!C11*Drivers!C40/Drivers!C19*(1+Drivers!C21)^(A166/12),Summary!C11*(1-Drivers!C40 )*D166*(1+Drivers!C21)^(A166/12))</f>
        <v>0</v>
      </c>
      <c r="G166" s="14">
        <f>IF(AND(A166&gt;0,A166&lt;=2),Drivers!C16/2,0)</f>
        <v>0</v>
      </c>
      <c r="H166" s="14">
        <f>IF(A166=(Drivers!C19+Drivers!C20),Drivers!C17*(1+Drivers!C21)^(A166/12),0)</f>
        <v>0</v>
      </c>
      <c r="I166" s="14">
        <f>IF(AND(A166&gt;0,A166&lt;=(Drivers!C19+Drivers!C20)),Drivers!C18*(1+Drivers!C23)^(A166/12),0)</f>
        <v>0</v>
      </c>
      <c r="J166" s="14">
        <f t="shared" si="1"/>
        <v>0</v>
      </c>
      <c r="K166" s="12">
        <f>IF(A166&gt;(Drivers!C19+Drivers!C20),MIN(1,0.5+0.5*(A166-(Drivers!C19+Drivers!C20))/Drivers!C39),0)</f>
        <v>1</v>
      </c>
      <c r="L166" s="14">
        <f>Drivers!C2*(B166-B165)*Drivers!C24*(1+Drivers!C22)^(A166/12)*Drivers!C25*K166</f>
        <v>830663.7143</v>
      </c>
      <c r="M166" s="14">
        <f>L166*Drivers!C26</f>
        <v>166132.7429</v>
      </c>
      <c r="N166" s="14">
        <f>(L166+M166)*Drivers!C27</f>
        <v>348878.76</v>
      </c>
      <c r="O166" s="14">
        <f>IF(A166&gt;(Drivers!C19+Drivers!C20),Drivers!C28/12*(1+Drivers!C23)^(A166/12),0)</f>
        <v>569728.1991</v>
      </c>
      <c r="P166" s="14">
        <f>(L166+M166)*Drivers!C29</f>
        <v>39871.85829</v>
      </c>
      <c r="Q166" s="14">
        <f>Drivers!C3*Drivers!C30*(1+Drivers!C22)^(A166/12)*Drivers!C31*(1-Drivers!C32 )*K166</f>
        <v>65376.31085</v>
      </c>
      <c r="R166" s="14">
        <f>IF(A166&gt;(Drivers!C19+Drivers!C20),Drivers!C33/12*(1+Drivers!C23)^(A166/12),0)</f>
        <v>85459.22986</v>
      </c>
      <c r="S166" s="14">
        <f t="shared" si="2"/>
        <v>18234.72074</v>
      </c>
      <c r="T166" s="14">
        <f t="shared" si="6"/>
        <v>643280.7947</v>
      </c>
      <c r="U166" s="14">
        <f>IF(AND(A166&gt;Drivers!C19,A166&lt;=(Drivers!C19+Drivers!C20)),Summary!C31*D166,0)</f>
        <v>0</v>
      </c>
      <c r="V166" s="14">
        <f>IF(A166&lt;=(Drivers!C19+Drivers!C20),(T166+U166/2)*Drivers!C36/12,T166*Drivers!C36/12)</f>
        <v>6164.774283</v>
      </c>
      <c r="W166" s="14">
        <f>IF(A166&gt;(Drivers!C19+Drivers!C20),MIN(T166,MAX(0,Summary!C32/12-V166)),0)</f>
        <v>8160.41284</v>
      </c>
      <c r="X166" s="14">
        <f>IF(A166=(Drivers!C19+1),Summary!C31*Drivers!C38,0)</f>
        <v>0</v>
      </c>
      <c r="Y166" s="14">
        <f t="shared" si="3"/>
        <v>635120.3819</v>
      </c>
      <c r="Z166" s="14">
        <f t="shared" si="4"/>
        <v>3909.533617</v>
      </c>
      <c r="AA166" s="14">
        <f t="shared" si="7"/>
        <v>-108895985.1</v>
      </c>
      <c r="AB166" s="14">
        <f t="shared" si="5"/>
        <v>18234.72074</v>
      </c>
      <c r="AC166" s="14">
        <f>(E166+F166+G166+H166)*Drivers!C45</f>
        <v>0</v>
      </c>
      <c r="AD166" s="14">
        <f>IF(A166&lt;=Summary!C18,AB166+IF(A166=Summary!C18,Summary!C40,0),0)</f>
        <v>0</v>
      </c>
      <c r="AE166" s="14">
        <f>IF(A166&lt;=Summary!C18,Z166+IF(A166=Summary!C18,Summary!C40-Y166,0),0)</f>
        <v>0</v>
      </c>
      <c r="AF166" s="14">
        <f>AD166-IF(A166=0,Drivers!C44,0)</f>
        <v>0</v>
      </c>
      <c r="AG166" s="14">
        <f t="shared" si="8"/>
        <v>-108250424.4</v>
      </c>
    </row>
    <row r="167">
      <c r="A167" s="2">
        <v>165.0</v>
      </c>
      <c r="B167" s="15">
        <f>EDATE(Setup!B2,A167)</f>
        <v>51301</v>
      </c>
      <c r="C167" s="2" t="str">
        <f>IF(A167=0,"T0",IF(A167&lt;=Drivers!C19,"Preconstruction",IF(A167&lt;=(Drivers!C19+Drivers!C20),"Construction","Trading")))</f>
        <v>Trading</v>
      </c>
      <c r="D167" s="12">
        <f t="array" ref="D167">IF(AND(A167&gt;Drivers!C19,A167&lt;=(Drivers!C19+Drivers!C20)),SIN(PI()*(A167-Drivers!C19-0.5)/Drivers!C20)/SUMPRODUCT(SIN(PI()*(SEQUENCE(Drivers!C20,1)-0.5)/Drivers!C20)),0)</f>
        <v>0</v>
      </c>
      <c r="E167" s="14">
        <f>(Summary!C10+Summary!C12)*D167*(1+Drivers!C21)^(A167/12)</f>
        <v>0</v>
      </c>
      <c r="F167" s="14">
        <f>IF(AND(A167&gt;0,A167&lt;=Drivers!C19),Summary!C11*Drivers!C40/Drivers!C19*(1+Drivers!C21)^(A167/12),Summary!C11*(1-Drivers!C40 )*D167*(1+Drivers!C21)^(A167/12))</f>
        <v>0</v>
      </c>
      <c r="G167" s="14">
        <f>IF(AND(A167&gt;0,A167&lt;=2),Drivers!C16/2,0)</f>
        <v>0</v>
      </c>
      <c r="H167" s="14">
        <f>IF(A167=(Drivers!C19+Drivers!C20),Drivers!C17*(1+Drivers!C21)^(A167/12),0)</f>
        <v>0</v>
      </c>
      <c r="I167" s="14">
        <f>IF(AND(A167&gt;0,A167&lt;=(Drivers!C19+Drivers!C20)),Drivers!C18*(1+Drivers!C23)^(A167/12),0)</f>
        <v>0</v>
      </c>
      <c r="J167" s="14">
        <f t="shared" si="1"/>
        <v>0</v>
      </c>
      <c r="K167" s="12">
        <f>IF(A167&gt;(Drivers!C19+Drivers!C20),MIN(1,0.5+0.5*(A167-(Drivers!C19+Drivers!C20))/Drivers!C39),0)</f>
        <v>1</v>
      </c>
      <c r="L167" s="14">
        <f>Drivers!C2*(B167-B166)*Drivers!C24*(1+Drivers!C22)^(A167/12)*Drivers!C25*K167</f>
        <v>861162.5275</v>
      </c>
      <c r="M167" s="14">
        <f>L167*Drivers!C26</f>
        <v>172232.5055</v>
      </c>
      <c r="N167" s="14">
        <f>(L167+M167)*Drivers!C27</f>
        <v>361688.2615</v>
      </c>
      <c r="O167" s="14">
        <f>IF(A167&gt;(Drivers!C19+Drivers!C20),Drivers!C28/12*(1+Drivers!C23)^(A167/12),0)</f>
        <v>571593.341</v>
      </c>
      <c r="P167" s="14">
        <f>(L167+M167)*Drivers!C29</f>
        <v>41335.80132</v>
      </c>
      <c r="Q167" s="14">
        <f>Drivers!C3*Drivers!C30*(1+Drivers!C22)^(A167/12)*Drivers!C31*(1-Drivers!C32 )*K167</f>
        <v>65590.33588</v>
      </c>
      <c r="R167" s="14">
        <f>IF(A167&gt;(Drivers!C19+Drivers!C20),Drivers!C33/12*(1+Drivers!C23)^(A167/12),0)</f>
        <v>85739.00114</v>
      </c>
      <c r="S167" s="14">
        <f t="shared" si="2"/>
        <v>38628.96389</v>
      </c>
      <c r="T167" s="14">
        <f t="shared" si="6"/>
        <v>635120.3819</v>
      </c>
      <c r="U167" s="14">
        <f>IF(AND(A167&gt;Drivers!C19,A167&lt;=(Drivers!C19+Drivers!C20)),Summary!C31*D167,0)</f>
        <v>0</v>
      </c>
      <c r="V167" s="14">
        <f>IF(A167&lt;=(Drivers!C19+Drivers!C20),(T167+U167/2)*Drivers!C36/12,T167*Drivers!C36/12)</f>
        <v>6086.570326</v>
      </c>
      <c r="W167" s="14">
        <f>IF(A167&gt;(Drivers!C19+Drivers!C20),MIN(T167,MAX(0,Summary!C32/12-V167)),0)</f>
        <v>8238.616796</v>
      </c>
      <c r="X167" s="14">
        <f>IF(A167=(Drivers!C19+1),Summary!C31*Drivers!C38,0)</f>
        <v>0</v>
      </c>
      <c r="Y167" s="14">
        <f t="shared" si="3"/>
        <v>626881.7651</v>
      </c>
      <c r="Z167" s="14">
        <f t="shared" si="4"/>
        <v>24303.77677</v>
      </c>
      <c r="AA167" s="14">
        <f t="shared" si="7"/>
        <v>-108871681.3</v>
      </c>
      <c r="AB167" s="14">
        <f t="shared" si="5"/>
        <v>38628.96389</v>
      </c>
      <c r="AC167" s="14">
        <f>(E167+F167+G167+H167)*Drivers!C45</f>
        <v>0</v>
      </c>
      <c r="AD167" s="14">
        <f>IF(A167&lt;=Summary!C18,AB167+IF(A167=Summary!C18,Summary!C40,0),0)</f>
        <v>0</v>
      </c>
      <c r="AE167" s="14">
        <f>IF(A167&lt;=Summary!C18,Z167+IF(A167=Summary!C18,Summary!C40-Y167,0),0)</f>
        <v>0</v>
      </c>
      <c r="AF167" s="14">
        <f>AD167-IF(A167=0,Drivers!C44,0)</f>
        <v>0</v>
      </c>
      <c r="AG167" s="14">
        <f t="shared" si="8"/>
        <v>-108211795.5</v>
      </c>
    </row>
    <row r="168">
      <c r="A168" s="2">
        <v>166.0</v>
      </c>
      <c r="B168" s="15">
        <f>EDATE(Setup!B2,A168)</f>
        <v>51331</v>
      </c>
      <c r="C168" s="2" t="str">
        <f>IF(A168=0,"T0",IF(A168&lt;=Drivers!C19,"Preconstruction",IF(A168&lt;=(Drivers!C19+Drivers!C20),"Construction","Trading")))</f>
        <v>Trading</v>
      </c>
      <c r="D168" s="12">
        <f t="array" ref="D168">IF(AND(A168&gt;Drivers!C19,A168&lt;=(Drivers!C19+Drivers!C20)),SIN(PI()*(A168-Drivers!C19-0.5)/Drivers!C20)/SUMPRODUCT(SIN(PI()*(SEQUENCE(Drivers!C20,1)-0.5)/Drivers!C20)),0)</f>
        <v>0</v>
      </c>
      <c r="E168" s="14">
        <f>(Summary!C10+Summary!C12)*D168*(1+Drivers!C21)^(A168/12)</f>
        <v>0</v>
      </c>
      <c r="F168" s="14">
        <f>IF(AND(A168&gt;0,A168&lt;=Drivers!C19),Summary!C11*Drivers!C40/Drivers!C19*(1+Drivers!C21)^(A168/12),Summary!C11*(1-Drivers!C40 )*D168*(1+Drivers!C21)^(A168/12))</f>
        <v>0</v>
      </c>
      <c r="G168" s="14">
        <f>IF(AND(A168&gt;0,A168&lt;=2),Drivers!C16/2,0)</f>
        <v>0</v>
      </c>
      <c r="H168" s="14">
        <f>IF(A168=(Drivers!C19+Drivers!C20),Drivers!C17*(1+Drivers!C21)^(A168/12),0)</f>
        <v>0</v>
      </c>
      <c r="I168" s="14">
        <f>IF(AND(A168&gt;0,A168&lt;=(Drivers!C19+Drivers!C20)),Drivers!C18*(1+Drivers!C23)^(A168/12),0)</f>
        <v>0</v>
      </c>
      <c r="J168" s="14">
        <f t="shared" si="1"/>
        <v>0</v>
      </c>
      <c r="K168" s="12">
        <f>IF(A168&gt;(Drivers!C19+Drivers!C20),MIN(1,0.5+0.5*(A168-(Drivers!C19+Drivers!C20))/Drivers!C39),0)</f>
        <v>1</v>
      </c>
      <c r="L168" s="14">
        <f>Drivers!C2*(B168-B167)*Drivers!C24*(1+Drivers!C22)^(A168/12)*Drivers!C25*K168</f>
        <v>836111.3705</v>
      </c>
      <c r="M168" s="14">
        <f>L168*Drivers!C26</f>
        <v>167222.2741</v>
      </c>
      <c r="N168" s="14">
        <f>(L168+M168)*Drivers!C27</f>
        <v>351166.7756</v>
      </c>
      <c r="O168" s="14">
        <f>IF(A168&gt;(Drivers!C19+Drivers!C20),Drivers!C28/12*(1+Drivers!C23)^(A168/12),0)</f>
        <v>573464.5888</v>
      </c>
      <c r="P168" s="14">
        <f>(L168+M168)*Drivers!C29</f>
        <v>40133.34578</v>
      </c>
      <c r="Q168" s="14">
        <f>Drivers!C3*Drivers!C30*(1+Drivers!C22)^(A168/12)*Drivers!C31*(1-Drivers!C32 )*K168</f>
        <v>65805.06157</v>
      </c>
      <c r="R168" s="14">
        <f>IF(A168&gt;(Drivers!C19+Drivers!C20),Drivers!C33/12*(1+Drivers!C23)^(A168/12),0)</f>
        <v>86019.68832</v>
      </c>
      <c r="S168" s="14">
        <f t="shared" si="2"/>
        <v>18354.30763</v>
      </c>
      <c r="T168" s="14">
        <f t="shared" si="6"/>
        <v>626881.7651</v>
      </c>
      <c r="U168" s="14">
        <f>IF(AND(A168&gt;Drivers!C19,A168&lt;=(Drivers!C19+Drivers!C20)),Summary!C31*D168,0)</f>
        <v>0</v>
      </c>
      <c r="V168" s="14">
        <f>IF(A168&lt;=(Drivers!C19+Drivers!C20),(T168+U168/2)*Drivers!C36/12,T168*Drivers!C36/12)</f>
        <v>6007.616915</v>
      </c>
      <c r="W168" s="14">
        <f>IF(A168&gt;(Drivers!C19+Drivers!C20),MIN(T168,MAX(0,Summary!C32/12-V168)),0)</f>
        <v>8317.570207</v>
      </c>
      <c r="X168" s="14">
        <f>IF(A168=(Drivers!C19+1),Summary!C31*Drivers!C38,0)</f>
        <v>0</v>
      </c>
      <c r="Y168" s="14">
        <f t="shared" si="3"/>
        <v>618564.1949</v>
      </c>
      <c r="Z168" s="14">
        <f t="shared" si="4"/>
        <v>4029.120507</v>
      </c>
      <c r="AA168" s="14">
        <f t="shared" si="7"/>
        <v>-108867652.2</v>
      </c>
      <c r="AB168" s="14">
        <f t="shared" si="5"/>
        <v>18354.30763</v>
      </c>
      <c r="AC168" s="14">
        <f>(E168+F168+G168+H168)*Drivers!C45</f>
        <v>0</v>
      </c>
      <c r="AD168" s="14">
        <f>IF(A168&lt;=Summary!C18,AB168+IF(A168=Summary!C18,Summary!C40,0),0)</f>
        <v>0</v>
      </c>
      <c r="AE168" s="14">
        <f>IF(A168&lt;=Summary!C18,Z168+IF(A168=Summary!C18,Summary!C40-Y168,0),0)</f>
        <v>0</v>
      </c>
      <c r="AF168" s="14">
        <f>AD168-IF(A168=0,Drivers!C44,0)</f>
        <v>0</v>
      </c>
      <c r="AG168" s="14">
        <f t="shared" si="8"/>
        <v>-108193441.2</v>
      </c>
    </row>
    <row r="169">
      <c r="A169" s="2">
        <v>167.0</v>
      </c>
      <c r="B169" s="15">
        <f>EDATE(Setup!B2,A169)</f>
        <v>51362</v>
      </c>
      <c r="C169" s="2" t="str">
        <f>IF(A169=0,"T0",IF(A169&lt;=Drivers!C19,"Preconstruction",IF(A169&lt;=(Drivers!C19+Drivers!C20),"Construction","Trading")))</f>
        <v>Trading</v>
      </c>
      <c r="D169" s="12">
        <f t="array" ref="D169">IF(AND(A169&gt;Drivers!C19,A169&lt;=(Drivers!C19+Drivers!C20)),SIN(PI()*(A169-Drivers!C19-0.5)/Drivers!C20)/SUMPRODUCT(SIN(PI()*(SEQUENCE(Drivers!C20,1)-0.5)/Drivers!C20)),0)</f>
        <v>0</v>
      </c>
      <c r="E169" s="14">
        <f>(Summary!C10+Summary!C12)*D169*(1+Drivers!C21)^(A169/12)</f>
        <v>0</v>
      </c>
      <c r="F169" s="14">
        <f>IF(AND(A169&gt;0,A169&lt;=Drivers!C19),Summary!C11*Drivers!C40/Drivers!C19*(1+Drivers!C21)^(A169/12),Summary!C11*(1-Drivers!C40 )*D169*(1+Drivers!C21)^(A169/12))</f>
        <v>0</v>
      </c>
      <c r="G169" s="14">
        <f>IF(AND(A169&gt;0,A169&lt;=2),Drivers!C16/2,0)</f>
        <v>0</v>
      </c>
      <c r="H169" s="14">
        <f>IF(A169=(Drivers!C19+Drivers!C20),Drivers!C17*(1+Drivers!C21)^(A169/12),0)</f>
        <v>0</v>
      </c>
      <c r="I169" s="14">
        <f>IF(AND(A169&gt;0,A169&lt;=(Drivers!C19+Drivers!C20)),Drivers!C18*(1+Drivers!C23)^(A169/12),0)</f>
        <v>0</v>
      </c>
      <c r="J169" s="14">
        <f t="shared" si="1"/>
        <v>0</v>
      </c>
      <c r="K169" s="12">
        <f>IF(A169&gt;(Drivers!C19+Drivers!C20),MIN(1,0.5+0.5*(A169-(Drivers!C19+Drivers!C20))/Drivers!C39),0)</f>
        <v>1</v>
      </c>
      <c r="L169" s="14">
        <f>Drivers!C2*(B169-B168)*Drivers!C24*(1+Drivers!C22)^(A169/12)*Drivers!C25*K169</f>
        <v>866810.2009</v>
      </c>
      <c r="M169" s="14">
        <f>L169*Drivers!C26</f>
        <v>173362.0402</v>
      </c>
      <c r="N169" s="14">
        <f>(L169+M169)*Drivers!C27</f>
        <v>364060.2844</v>
      </c>
      <c r="O169" s="14">
        <f>IF(A169&gt;(Drivers!C19+Drivers!C20),Drivers!C28/12*(1+Drivers!C23)^(A169/12),0)</f>
        <v>575341.9627</v>
      </c>
      <c r="P169" s="14">
        <f>(L169+M169)*Drivers!C29</f>
        <v>41606.88965</v>
      </c>
      <c r="Q169" s="14">
        <f>Drivers!C3*Drivers!C30*(1+Drivers!C22)^(A169/12)*Drivers!C31*(1-Drivers!C32 )*K169</f>
        <v>66020.49022</v>
      </c>
      <c r="R169" s="14">
        <f>IF(A169&gt;(Drivers!C19+Drivers!C20),Drivers!C33/12*(1+Drivers!C23)^(A169/12),0)</f>
        <v>86301.2944</v>
      </c>
      <c r="S169" s="14">
        <f t="shared" si="2"/>
        <v>38882.30025</v>
      </c>
      <c r="T169" s="14">
        <f t="shared" si="6"/>
        <v>618564.1949</v>
      </c>
      <c r="U169" s="14">
        <f>IF(AND(A169&gt;Drivers!C19,A169&lt;=(Drivers!C19+Drivers!C20)),Summary!C31*D169,0)</f>
        <v>0</v>
      </c>
      <c r="V169" s="14">
        <f>IF(A169&lt;=(Drivers!C19+Drivers!C20),(T169+U169/2)*Drivers!C36/12,T169*Drivers!C36/12)</f>
        <v>5927.906868</v>
      </c>
      <c r="W169" s="14">
        <f>IF(A169&gt;(Drivers!C19+Drivers!C20),MIN(T169,MAX(0,Summary!C32/12-V169)),0)</f>
        <v>8397.280255</v>
      </c>
      <c r="X169" s="14">
        <f>IF(A169=(Drivers!C19+1),Summary!C31*Drivers!C38,0)</f>
        <v>0</v>
      </c>
      <c r="Y169" s="14">
        <f t="shared" si="3"/>
        <v>610166.9146</v>
      </c>
      <c r="Z169" s="14">
        <f t="shared" si="4"/>
        <v>24557.11312</v>
      </c>
      <c r="AA169" s="14">
        <f t="shared" si="7"/>
        <v>-108843095.1</v>
      </c>
      <c r="AB169" s="14">
        <f t="shared" si="5"/>
        <v>38882.30025</v>
      </c>
      <c r="AC169" s="14">
        <f>(E169+F169+G169+H169)*Drivers!C45</f>
        <v>0</v>
      </c>
      <c r="AD169" s="14">
        <f>IF(A169&lt;=Summary!C18,AB169+IF(A169=Summary!C18,Summary!C40,0),0)</f>
        <v>0</v>
      </c>
      <c r="AE169" s="14">
        <f>IF(A169&lt;=Summary!C18,Z169+IF(A169=Summary!C18,Summary!C40-Y169,0),0)</f>
        <v>0</v>
      </c>
      <c r="AF169" s="14">
        <f>AD169-IF(A169=0,Drivers!C44,0)</f>
        <v>0</v>
      </c>
      <c r="AG169" s="14">
        <f t="shared" si="8"/>
        <v>-108154558.9</v>
      </c>
    </row>
    <row r="170">
      <c r="A170" s="2">
        <v>168.0</v>
      </c>
      <c r="B170" s="15">
        <f>EDATE(Setup!B2,A170)</f>
        <v>51393</v>
      </c>
      <c r="C170" s="2" t="str">
        <f>IF(A170=0,"T0",IF(A170&lt;=Drivers!C19,"Preconstruction",IF(A170&lt;=(Drivers!C19+Drivers!C20),"Construction","Trading")))</f>
        <v>Trading</v>
      </c>
      <c r="D170" s="12">
        <f t="array" ref="D170">IF(AND(A170&gt;Drivers!C19,A170&lt;=(Drivers!C19+Drivers!C20)),SIN(PI()*(A170-Drivers!C19-0.5)/Drivers!C20)/SUMPRODUCT(SIN(PI()*(SEQUENCE(Drivers!C20,1)-0.5)/Drivers!C20)),0)</f>
        <v>0</v>
      </c>
      <c r="E170" s="14">
        <f>(Summary!C10+Summary!C12)*D170*(1+Drivers!C21)^(A170/12)</f>
        <v>0</v>
      </c>
      <c r="F170" s="14">
        <f>IF(AND(A170&gt;0,A170&lt;=Drivers!C19),Summary!C11*Drivers!C40/Drivers!C19*(1+Drivers!C21)^(A170/12),Summary!C11*(1-Drivers!C40 )*D170*(1+Drivers!C21)^(A170/12))</f>
        <v>0</v>
      </c>
      <c r="G170" s="14">
        <f>IF(AND(A170&gt;0,A170&lt;=2),Drivers!C16/2,0)</f>
        <v>0</v>
      </c>
      <c r="H170" s="14">
        <f>IF(A170=(Drivers!C19+Drivers!C20),Drivers!C17*(1+Drivers!C21)^(A170/12),0)</f>
        <v>0</v>
      </c>
      <c r="I170" s="14">
        <f>IF(AND(A170&gt;0,A170&lt;=(Drivers!C19+Drivers!C20)),Drivers!C18*(1+Drivers!C23)^(A170/12),0)</f>
        <v>0</v>
      </c>
      <c r="J170" s="14">
        <f t="shared" si="1"/>
        <v>0</v>
      </c>
      <c r="K170" s="12">
        <f>IF(A170&gt;(Drivers!C19+Drivers!C20),MIN(1,0.5+0.5*(A170-(Drivers!C19+Drivers!C20))/Drivers!C39),0)</f>
        <v>1</v>
      </c>
      <c r="L170" s="14">
        <f>Drivers!C2*(B170-B169)*Drivers!C24*(1+Drivers!C22)^(A170/12)*Drivers!C25*K170</f>
        <v>869647.912</v>
      </c>
      <c r="M170" s="14">
        <f>L170*Drivers!C26</f>
        <v>173929.5824</v>
      </c>
      <c r="N170" s="14">
        <f>(L170+M170)*Drivers!C27</f>
        <v>365252.123</v>
      </c>
      <c r="O170" s="14">
        <f>IF(A170&gt;(Drivers!C19+Drivers!C20),Drivers!C28/12*(1+Drivers!C23)^(A170/12),0)</f>
        <v>577225.4825</v>
      </c>
      <c r="P170" s="14">
        <f>(L170+M170)*Drivers!C29</f>
        <v>41743.09978</v>
      </c>
      <c r="Q170" s="14">
        <f>Drivers!C3*Drivers!C30*(1+Drivers!C22)^(A170/12)*Drivers!C31*(1-Drivers!C32 )*K170</f>
        <v>66236.62412</v>
      </c>
      <c r="R170" s="14">
        <f>IF(A170&gt;(Drivers!C19+Drivers!C20),Drivers!C33/12*(1+Drivers!C23)^(A170/12),0)</f>
        <v>86583.82238</v>
      </c>
      <c r="S170" s="14">
        <f t="shared" si="2"/>
        <v>39009.59078</v>
      </c>
      <c r="T170" s="14">
        <f t="shared" si="6"/>
        <v>610166.9146</v>
      </c>
      <c r="U170" s="14">
        <f>IF(AND(A170&gt;Drivers!C19,A170&lt;=(Drivers!C19+Drivers!C20)),Summary!C31*D170,0)</f>
        <v>0</v>
      </c>
      <c r="V170" s="14">
        <f>IF(A170&lt;=(Drivers!C19+Drivers!C20),(T170+U170/2)*Drivers!C36/12,T170*Drivers!C36/12)</f>
        <v>5847.432932</v>
      </c>
      <c r="W170" s="14">
        <f>IF(A170&gt;(Drivers!C19+Drivers!C20),MIN(T170,MAX(0,Summary!C32/12-V170)),0)</f>
        <v>8477.754191</v>
      </c>
      <c r="X170" s="14">
        <f>IF(A170=(Drivers!C19+1),Summary!C31*Drivers!C38,0)</f>
        <v>0</v>
      </c>
      <c r="Y170" s="14">
        <f t="shared" si="3"/>
        <v>601689.1604</v>
      </c>
      <c r="Z170" s="14">
        <f t="shared" si="4"/>
        <v>24684.40366</v>
      </c>
      <c r="AA170" s="14">
        <f t="shared" si="7"/>
        <v>-108818410.7</v>
      </c>
      <c r="AB170" s="14">
        <f t="shared" si="5"/>
        <v>39009.59078</v>
      </c>
      <c r="AC170" s="14">
        <f>(E170+F170+G170+H170)*Drivers!C45</f>
        <v>0</v>
      </c>
      <c r="AD170" s="14">
        <f>IF(A170&lt;=Summary!C18,AB170+IF(A170=Summary!C18,Summary!C40,0),0)</f>
        <v>0</v>
      </c>
      <c r="AE170" s="14">
        <f>IF(A170&lt;=Summary!C18,Z170+IF(A170=Summary!C18,Summary!C40-Y170,0),0)</f>
        <v>0</v>
      </c>
      <c r="AF170" s="14">
        <f>AD170-IF(A170=0,Drivers!C44,0)</f>
        <v>0</v>
      </c>
      <c r="AG170" s="14">
        <f t="shared" si="8"/>
        <v>-108115549.3</v>
      </c>
    </row>
    <row r="171">
      <c r="A171" s="2">
        <v>169.0</v>
      </c>
      <c r="B171" s="15">
        <f>EDATE(Setup!B2,A171)</f>
        <v>51423</v>
      </c>
      <c r="C171" s="2" t="str">
        <f>IF(A171=0,"T0",IF(A171&lt;=Drivers!C19,"Preconstruction",IF(A171&lt;=(Drivers!C19+Drivers!C20),"Construction","Trading")))</f>
        <v>Trading</v>
      </c>
      <c r="D171" s="12">
        <f t="array" ref="D171">IF(AND(A171&gt;Drivers!C19,A171&lt;=(Drivers!C19+Drivers!C20)),SIN(PI()*(A171-Drivers!C19-0.5)/Drivers!C20)/SUMPRODUCT(SIN(PI()*(SEQUENCE(Drivers!C20,1)-0.5)/Drivers!C20)),0)</f>
        <v>0</v>
      </c>
      <c r="E171" s="14">
        <f>(Summary!C10+Summary!C12)*D171*(1+Drivers!C21)^(A171/12)</f>
        <v>0</v>
      </c>
      <c r="F171" s="14">
        <f>IF(AND(A171&gt;0,A171&lt;=Drivers!C19),Summary!C11*Drivers!C40/Drivers!C19*(1+Drivers!C21)^(A171/12),Summary!C11*(1-Drivers!C40 )*D171*(1+Drivers!C21)^(A171/12))</f>
        <v>0</v>
      </c>
      <c r="G171" s="14">
        <f>IF(AND(A171&gt;0,A171&lt;=2),Drivers!C16/2,0)</f>
        <v>0</v>
      </c>
      <c r="H171" s="14">
        <f>IF(A171=(Drivers!C19+Drivers!C20),Drivers!C17*(1+Drivers!C21)^(A171/12),0)</f>
        <v>0</v>
      </c>
      <c r="I171" s="14">
        <f>IF(AND(A171&gt;0,A171&lt;=(Drivers!C19+Drivers!C20)),Drivers!C18*(1+Drivers!C23)^(A171/12),0)</f>
        <v>0</v>
      </c>
      <c r="J171" s="14">
        <f t="shared" si="1"/>
        <v>0</v>
      </c>
      <c r="K171" s="12">
        <f>IF(A171&gt;(Drivers!C19+Drivers!C20),MIN(1,0.5+0.5*(A171-(Drivers!C19+Drivers!C20))/Drivers!C39),0)</f>
        <v>1</v>
      </c>
      <c r="L171" s="14">
        <f>Drivers!C2*(B171-B170)*Drivers!C24*(1+Drivers!C22)^(A171/12)*Drivers!C25*K171</f>
        <v>844349.9158</v>
      </c>
      <c r="M171" s="14">
        <f>L171*Drivers!C26</f>
        <v>168869.9832</v>
      </c>
      <c r="N171" s="14">
        <f>(L171+M171)*Drivers!C27</f>
        <v>354626.9646</v>
      </c>
      <c r="O171" s="14">
        <f>IF(A171&gt;(Drivers!C19+Drivers!C20),Drivers!C28/12*(1+Drivers!C23)^(A171/12),0)</f>
        <v>579115.1686</v>
      </c>
      <c r="P171" s="14">
        <f>(L171+M171)*Drivers!C29</f>
        <v>40528.79596</v>
      </c>
      <c r="Q171" s="14">
        <f>Drivers!C3*Drivers!C30*(1+Drivers!C22)^(A171/12)*Drivers!C31*(1-Drivers!C32 )*K171</f>
        <v>66453.46559</v>
      </c>
      <c r="R171" s="14">
        <f>IF(A171&gt;(Drivers!C19+Drivers!C20),Drivers!C33/12*(1+Drivers!C23)^(A171/12),0)</f>
        <v>86867.27528</v>
      </c>
      <c r="S171" s="14">
        <f t="shared" si="2"/>
        <v>18535.16008</v>
      </c>
      <c r="T171" s="14">
        <f t="shared" si="6"/>
        <v>601689.1604</v>
      </c>
      <c r="U171" s="14">
        <f>IF(AND(A171&gt;Drivers!C19,A171&lt;=(Drivers!C19+Drivers!C20)),Summary!C31*D171,0)</f>
        <v>0</v>
      </c>
      <c r="V171" s="14">
        <f>IF(A171&lt;=(Drivers!C19+Drivers!C20),(T171+U171/2)*Drivers!C36/12,T171*Drivers!C36/12)</f>
        <v>5766.187787</v>
      </c>
      <c r="W171" s="14">
        <f>IF(A171&gt;(Drivers!C19+Drivers!C20),MIN(T171,MAX(0,Summary!C32/12-V171)),0)</f>
        <v>8558.999335</v>
      </c>
      <c r="X171" s="14">
        <f>IF(A171=(Drivers!C19+1),Summary!C31*Drivers!C38,0)</f>
        <v>0</v>
      </c>
      <c r="Y171" s="14">
        <f t="shared" si="3"/>
        <v>593130.1611</v>
      </c>
      <c r="Z171" s="14">
        <f t="shared" si="4"/>
        <v>4209.972962</v>
      </c>
      <c r="AA171" s="14">
        <f t="shared" si="7"/>
        <v>-108814200.7</v>
      </c>
      <c r="AB171" s="14">
        <f t="shared" si="5"/>
        <v>18535.16008</v>
      </c>
      <c r="AC171" s="14">
        <f>(E171+F171+G171+H171)*Drivers!C45</f>
        <v>0</v>
      </c>
      <c r="AD171" s="14">
        <f>IF(A171&lt;=Summary!C18,AB171+IF(A171=Summary!C18,Summary!C40,0),0)</f>
        <v>0</v>
      </c>
      <c r="AE171" s="14">
        <f>IF(A171&lt;=Summary!C18,Z171+IF(A171=Summary!C18,Summary!C40-Y171,0),0)</f>
        <v>0</v>
      </c>
      <c r="AF171" s="14">
        <f>AD171-IF(A171=0,Drivers!C44,0)</f>
        <v>0</v>
      </c>
      <c r="AG171" s="14">
        <f t="shared" si="8"/>
        <v>-108097014.1</v>
      </c>
    </row>
    <row r="172">
      <c r="A172" s="2">
        <v>170.0</v>
      </c>
      <c r="B172" s="15">
        <f>EDATE(Setup!B2,A172)</f>
        <v>51454</v>
      </c>
      <c r="C172" s="2" t="str">
        <f>IF(A172=0,"T0",IF(A172&lt;=Drivers!C19,"Preconstruction",IF(A172&lt;=(Drivers!C19+Drivers!C20),"Construction","Trading")))</f>
        <v>Trading</v>
      </c>
      <c r="D172" s="12">
        <f t="array" ref="D172">IF(AND(A172&gt;Drivers!C19,A172&lt;=(Drivers!C19+Drivers!C20)),SIN(PI()*(A172-Drivers!C19-0.5)/Drivers!C20)/SUMPRODUCT(SIN(PI()*(SEQUENCE(Drivers!C20,1)-0.5)/Drivers!C20)),0)</f>
        <v>0</v>
      </c>
      <c r="E172" s="14">
        <f>(Summary!C10+Summary!C12)*D172*(1+Drivers!C21)^(A172/12)</f>
        <v>0</v>
      </c>
      <c r="F172" s="14">
        <f>IF(AND(A172&gt;0,A172&lt;=Drivers!C19),Summary!C11*Drivers!C40/Drivers!C19*(1+Drivers!C21)^(A172/12),Summary!C11*(1-Drivers!C40 )*D172*(1+Drivers!C21)^(A172/12))</f>
        <v>0</v>
      </c>
      <c r="G172" s="14">
        <f>IF(AND(A172&gt;0,A172&lt;=2),Drivers!C16/2,0)</f>
        <v>0</v>
      </c>
      <c r="H172" s="14">
        <f>IF(A172=(Drivers!C19+Drivers!C20),Drivers!C17*(1+Drivers!C21)^(A172/12),0)</f>
        <v>0</v>
      </c>
      <c r="I172" s="14">
        <f>IF(AND(A172&gt;0,A172&lt;=(Drivers!C19+Drivers!C20)),Drivers!C18*(1+Drivers!C23)^(A172/12),0)</f>
        <v>0</v>
      </c>
      <c r="J172" s="14">
        <f t="shared" si="1"/>
        <v>0</v>
      </c>
      <c r="K172" s="12">
        <f>IF(A172&gt;(Drivers!C19+Drivers!C20),MIN(1,0.5+0.5*(A172-(Drivers!C19+Drivers!C20))/Drivers!C39),0)</f>
        <v>1</v>
      </c>
      <c r="L172" s="14">
        <f>Drivers!C2*(B172-B171)*Drivers!C24*(1+Drivers!C22)^(A172/12)*Drivers!C25*K172</f>
        <v>875351.2343</v>
      </c>
      <c r="M172" s="14">
        <f>L172*Drivers!C26</f>
        <v>175070.2469</v>
      </c>
      <c r="N172" s="14">
        <f>(L172+M172)*Drivers!C27</f>
        <v>367647.5184</v>
      </c>
      <c r="O172" s="14">
        <f>IF(A172&gt;(Drivers!C19+Drivers!C20),Drivers!C28/12*(1+Drivers!C23)^(A172/12),0)</f>
        <v>581011.0409</v>
      </c>
      <c r="P172" s="14">
        <f>(L172+M172)*Drivers!C29</f>
        <v>42016.85924</v>
      </c>
      <c r="Q172" s="14">
        <f>Drivers!C3*Drivers!C30*(1+Drivers!C22)^(A172/12)*Drivers!C31*(1-Drivers!C32 )*K172</f>
        <v>66671.01695</v>
      </c>
      <c r="R172" s="14">
        <f>IF(A172&gt;(Drivers!C19+Drivers!C20),Drivers!C33/12*(1+Drivers!C23)^(A172/12),0)</f>
        <v>87151.65614</v>
      </c>
      <c r="S172" s="14">
        <f t="shared" si="2"/>
        <v>39265.42336</v>
      </c>
      <c r="T172" s="14">
        <f t="shared" si="6"/>
        <v>593130.1611</v>
      </c>
      <c r="U172" s="14">
        <f>IF(AND(A172&gt;Drivers!C19,A172&lt;=(Drivers!C19+Drivers!C20)),Summary!C31*D172,0)</f>
        <v>0</v>
      </c>
      <c r="V172" s="14">
        <f>IF(A172&lt;=(Drivers!C19+Drivers!C20),(T172+U172/2)*Drivers!C36/12,T172*Drivers!C36/12)</f>
        <v>5684.164044</v>
      </c>
      <c r="W172" s="14">
        <f>IF(A172&gt;(Drivers!C19+Drivers!C20),MIN(T172,MAX(0,Summary!C32/12-V172)),0)</f>
        <v>8641.023079</v>
      </c>
      <c r="X172" s="14">
        <f>IF(A172=(Drivers!C19+1),Summary!C31*Drivers!C38,0)</f>
        <v>0</v>
      </c>
      <c r="Y172" s="14">
        <f t="shared" si="3"/>
        <v>584489.138</v>
      </c>
      <c r="Z172" s="14">
        <f t="shared" si="4"/>
        <v>24940.23624</v>
      </c>
      <c r="AA172" s="14">
        <f t="shared" si="7"/>
        <v>-108789260.5</v>
      </c>
      <c r="AB172" s="14">
        <f t="shared" si="5"/>
        <v>39265.42336</v>
      </c>
      <c r="AC172" s="14">
        <f>(E172+F172+G172+H172)*Drivers!C45</f>
        <v>0</v>
      </c>
      <c r="AD172" s="14">
        <f>IF(A172&lt;=Summary!C18,AB172+IF(A172=Summary!C18,Summary!C40,0),0)</f>
        <v>0</v>
      </c>
      <c r="AE172" s="14">
        <f>IF(A172&lt;=Summary!C18,Z172+IF(A172=Summary!C18,Summary!C40-Y172,0),0)</f>
        <v>0</v>
      </c>
      <c r="AF172" s="14">
        <f>AD172-IF(A172=0,Drivers!C44,0)</f>
        <v>0</v>
      </c>
      <c r="AG172" s="14">
        <f t="shared" si="8"/>
        <v>-108057748.7</v>
      </c>
    </row>
    <row r="173">
      <c r="A173" s="2">
        <v>171.0</v>
      </c>
      <c r="B173" s="15">
        <f>EDATE(Setup!B2,A173)</f>
        <v>51484</v>
      </c>
      <c r="C173" s="2" t="str">
        <f>IF(A173=0,"T0",IF(A173&lt;=Drivers!C19,"Preconstruction",IF(A173&lt;=(Drivers!C19+Drivers!C20),"Construction","Trading")))</f>
        <v>Trading</v>
      </c>
      <c r="D173" s="12">
        <f t="array" ref="D173">IF(AND(A173&gt;Drivers!C19,A173&lt;=(Drivers!C19+Drivers!C20)),SIN(PI()*(A173-Drivers!C19-0.5)/Drivers!C20)/SUMPRODUCT(SIN(PI()*(SEQUENCE(Drivers!C20,1)-0.5)/Drivers!C20)),0)</f>
        <v>0</v>
      </c>
      <c r="E173" s="14">
        <f>(Summary!C10+Summary!C12)*D173*(1+Drivers!C21)^(A173/12)</f>
        <v>0</v>
      </c>
      <c r="F173" s="14">
        <f>IF(AND(A173&gt;0,A173&lt;=Drivers!C19),Summary!C11*Drivers!C40/Drivers!C19*(1+Drivers!C21)^(A173/12),Summary!C11*(1-Drivers!C40 )*D173*(1+Drivers!C21)^(A173/12))</f>
        <v>0</v>
      </c>
      <c r="G173" s="14">
        <f>IF(AND(A173&gt;0,A173&lt;=2),Drivers!C16/2,0)</f>
        <v>0</v>
      </c>
      <c r="H173" s="14">
        <f>IF(A173=(Drivers!C19+Drivers!C20),Drivers!C17*(1+Drivers!C21)^(A173/12),0)</f>
        <v>0</v>
      </c>
      <c r="I173" s="14">
        <f>IF(AND(A173&gt;0,A173&lt;=(Drivers!C19+Drivers!C20)),Drivers!C18*(1+Drivers!C23)^(A173/12),0)</f>
        <v>0</v>
      </c>
      <c r="J173" s="14">
        <f t="shared" si="1"/>
        <v>0</v>
      </c>
      <c r="K173" s="12">
        <f>IF(A173&gt;(Drivers!C19+Drivers!C20),MIN(1,0.5+0.5*(A173-(Drivers!C19+Drivers!C20))/Drivers!C39),0)</f>
        <v>1</v>
      </c>
      <c r="L173" s="14">
        <f>Drivers!C2*(B173-B172)*Drivers!C24*(1+Drivers!C22)^(A173/12)*Drivers!C25*K173</f>
        <v>849887.3288</v>
      </c>
      <c r="M173" s="14">
        <f>L173*Drivers!C26</f>
        <v>169977.4658</v>
      </c>
      <c r="N173" s="14">
        <f>(L173+M173)*Drivers!C27</f>
        <v>356952.6781</v>
      </c>
      <c r="O173" s="14">
        <f>IF(A173&gt;(Drivers!C19+Drivers!C20),Drivers!C28/12*(1+Drivers!C23)^(A173/12),0)</f>
        <v>582913.1199</v>
      </c>
      <c r="P173" s="14">
        <f>(L173+M173)*Drivers!C29</f>
        <v>40794.59178</v>
      </c>
      <c r="Q173" s="14">
        <f>Drivers!C3*Drivers!C30*(1+Drivers!C22)^(A173/12)*Drivers!C31*(1-Drivers!C32 )*K173</f>
        <v>66889.28051</v>
      </c>
      <c r="R173" s="14">
        <f>IF(A173&gt;(Drivers!C19+Drivers!C20),Drivers!C33/12*(1+Drivers!C23)^(A173/12),0)</f>
        <v>87436.96798</v>
      </c>
      <c r="S173" s="14">
        <f t="shared" si="2"/>
        <v>18656.71732</v>
      </c>
      <c r="T173" s="14">
        <f t="shared" si="6"/>
        <v>584489.138</v>
      </c>
      <c r="U173" s="14">
        <f>IF(AND(A173&gt;Drivers!C19,A173&lt;=(Drivers!C19+Drivers!C20)),Summary!C31*D173,0)</f>
        <v>0</v>
      </c>
      <c r="V173" s="14">
        <f>IF(A173&lt;=(Drivers!C19+Drivers!C20),(T173+U173/2)*Drivers!C36/12,T173*Drivers!C36/12)</f>
        <v>5601.354239</v>
      </c>
      <c r="W173" s="14">
        <f>IF(A173&gt;(Drivers!C19+Drivers!C20),MIN(T173,MAX(0,Summary!C32/12-V173)),0)</f>
        <v>8723.832883</v>
      </c>
      <c r="X173" s="14">
        <f>IF(A173=(Drivers!C19+1),Summary!C31*Drivers!C38,0)</f>
        <v>0</v>
      </c>
      <c r="Y173" s="14">
        <f t="shared" si="3"/>
        <v>575765.3051</v>
      </c>
      <c r="Z173" s="14">
        <f t="shared" si="4"/>
        <v>4331.530192</v>
      </c>
      <c r="AA173" s="14">
        <f t="shared" si="7"/>
        <v>-108784928.9</v>
      </c>
      <c r="AB173" s="14">
        <f t="shared" si="5"/>
        <v>18656.71732</v>
      </c>
      <c r="AC173" s="14">
        <f>(E173+F173+G173+H173)*Drivers!C45</f>
        <v>0</v>
      </c>
      <c r="AD173" s="14">
        <f>IF(A173&lt;=Summary!C18,AB173+IF(A173=Summary!C18,Summary!C40,0),0)</f>
        <v>0</v>
      </c>
      <c r="AE173" s="14">
        <f>IF(A173&lt;=Summary!C18,Z173+IF(A173=Summary!C18,Summary!C40-Y173,0),0)</f>
        <v>0</v>
      </c>
      <c r="AF173" s="14">
        <f>AD173-IF(A173=0,Drivers!C44,0)</f>
        <v>0</v>
      </c>
      <c r="AG173" s="14">
        <f t="shared" si="8"/>
        <v>-108039092</v>
      </c>
    </row>
    <row r="174">
      <c r="A174" s="2">
        <v>172.0</v>
      </c>
      <c r="B174" s="15">
        <f>EDATE(Setup!B2,A174)</f>
        <v>51515</v>
      </c>
      <c r="C174" s="2" t="str">
        <f>IF(A174=0,"T0",IF(A174&lt;=Drivers!C19,"Preconstruction",IF(A174&lt;=(Drivers!C19+Drivers!C20),"Construction","Trading")))</f>
        <v>Trading</v>
      </c>
      <c r="D174" s="12">
        <f t="array" ref="D174">IF(AND(A174&gt;Drivers!C19,A174&lt;=(Drivers!C19+Drivers!C20)),SIN(PI()*(A174-Drivers!C19-0.5)/Drivers!C20)/SUMPRODUCT(SIN(PI()*(SEQUENCE(Drivers!C20,1)-0.5)/Drivers!C20)),0)</f>
        <v>0</v>
      </c>
      <c r="E174" s="14">
        <f>(Summary!C10+Summary!C12)*D174*(1+Drivers!C21)^(A174/12)</f>
        <v>0</v>
      </c>
      <c r="F174" s="14">
        <f>IF(AND(A174&gt;0,A174&lt;=Drivers!C19),Summary!C11*Drivers!C40/Drivers!C19*(1+Drivers!C21)^(A174/12),Summary!C11*(1-Drivers!C40 )*D174*(1+Drivers!C21)^(A174/12))</f>
        <v>0</v>
      </c>
      <c r="G174" s="14">
        <f>IF(AND(A174&gt;0,A174&lt;=2),Drivers!C16/2,0)</f>
        <v>0</v>
      </c>
      <c r="H174" s="14">
        <f>IF(A174=(Drivers!C19+Drivers!C20),Drivers!C17*(1+Drivers!C21)^(A174/12),0)</f>
        <v>0</v>
      </c>
      <c r="I174" s="14">
        <f>IF(AND(A174&gt;0,A174&lt;=(Drivers!C19+Drivers!C20)),Drivers!C18*(1+Drivers!C23)^(A174/12),0)</f>
        <v>0</v>
      </c>
      <c r="J174" s="14">
        <f t="shared" si="1"/>
        <v>0</v>
      </c>
      <c r="K174" s="12">
        <f>IF(A174&gt;(Drivers!C19+Drivers!C20),MIN(1,0.5+0.5*(A174-(Drivers!C19+Drivers!C20))/Drivers!C39),0)</f>
        <v>1</v>
      </c>
      <c r="L174" s="14">
        <f>Drivers!C2*(B174-B173)*Drivers!C24*(1+Drivers!C22)^(A174/12)*Drivers!C25*K174</f>
        <v>881091.96</v>
      </c>
      <c r="M174" s="14">
        <f>L174*Drivers!C26</f>
        <v>176218.392</v>
      </c>
      <c r="N174" s="14">
        <f>(L174+M174)*Drivers!C27</f>
        <v>370058.6232</v>
      </c>
      <c r="O174" s="14">
        <f>IF(A174&gt;(Drivers!C19+Drivers!C20),Drivers!C28/12*(1+Drivers!C23)^(A174/12),0)</f>
        <v>584821.4258</v>
      </c>
      <c r="P174" s="14">
        <f>(L174+M174)*Drivers!C29</f>
        <v>42292.41408</v>
      </c>
      <c r="Q174" s="14">
        <f>Drivers!C3*Drivers!C30*(1+Drivers!C22)^(A174/12)*Drivers!C31*(1-Drivers!C32 )*K174</f>
        <v>67108.25861</v>
      </c>
      <c r="R174" s="14">
        <f>IF(A174&gt;(Drivers!C19+Drivers!C20),Drivers!C33/12*(1+Drivers!C23)^(A174/12),0)</f>
        <v>87723.21386</v>
      </c>
      <c r="S174" s="14">
        <f t="shared" si="2"/>
        <v>39522.93374</v>
      </c>
      <c r="T174" s="14">
        <f t="shared" si="6"/>
        <v>575765.3051</v>
      </c>
      <c r="U174" s="14">
        <f>IF(AND(A174&gt;Drivers!C19,A174&lt;=(Drivers!C19+Drivers!C20)),Summary!C31*D174,0)</f>
        <v>0</v>
      </c>
      <c r="V174" s="14">
        <f>IF(A174&lt;=(Drivers!C19+Drivers!C20),(T174+U174/2)*Drivers!C36/12,T174*Drivers!C36/12)</f>
        <v>5517.750841</v>
      </c>
      <c r="W174" s="14">
        <f>IF(A174&gt;(Drivers!C19+Drivers!C20),MIN(T174,MAX(0,Summary!C32/12-V174)),0)</f>
        <v>8807.436282</v>
      </c>
      <c r="X174" s="14">
        <f>IF(A174=(Drivers!C19+1),Summary!C31*Drivers!C38,0)</f>
        <v>0</v>
      </c>
      <c r="Y174" s="14">
        <f t="shared" si="3"/>
        <v>566957.8689</v>
      </c>
      <c r="Z174" s="14">
        <f t="shared" si="4"/>
        <v>25197.74662</v>
      </c>
      <c r="AA174" s="14">
        <f t="shared" si="7"/>
        <v>-108759731.2</v>
      </c>
      <c r="AB174" s="14">
        <f t="shared" si="5"/>
        <v>39522.93374</v>
      </c>
      <c r="AC174" s="14">
        <f>(E174+F174+G174+H174)*Drivers!C45</f>
        <v>0</v>
      </c>
      <c r="AD174" s="14">
        <f>IF(A174&lt;=Summary!C18,AB174+IF(A174=Summary!C18,Summary!C40,0),0)</f>
        <v>0</v>
      </c>
      <c r="AE174" s="14">
        <f>IF(A174&lt;=Summary!C18,Z174+IF(A174=Summary!C18,Summary!C40-Y174,0),0)</f>
        <v>0</v>
      </c>
      <c r="AF174" s="14">
        <f>AD174-IF(A174=0,Drivers!C44,0)</f>
        <v>0</v>
      </c>
      <c r="AG174" s="14">
        <f t="shared" si="8"/>
        <v>-107999569</v>
      </c>
    </row>
    <row r="175">
      <c r="A175" s="2">
        <v>173.0</v>
      </c>
      <c r="B175" s="15">
        <f>EDATE(Setup!B2,A175)</f>
        <v>51546</v>
      </c>
      <c r="C175" s="2" t="str">
        <f>IF(A175=0,"T0",IF(A175&lt;=Drivers!C19,"Preconstruction",IF(A175&lt;=(Drivers!C19+Drivers!C20),"Construction","Trading")))</f>
        <v>Trading</v>
      </c>
      <c r="D175" s="12">
        <f t="array" ref="D175">IF(AND(A175&gt;Drivers!C19,A175&lt;=(Drivers!C19+Drivers!C20)),SIN(PI()*(A175-Drivers!C19-0.5)/Drivers!C20)/SUMPRODUCT(SIN(PI()*(SEQUENCE(Drivers!C20,1)-0.5)/Drivers!C20)),0)</f>
        <v>0</v>
      </c>
      <c r="E175" s="14">
        <f>(Summary!C10+Summary!C12)*D175*(1+Drivers!C21)^(A175/12)</f>
        <v>0</v>
      </c>
      <c r="F175" s="14">
        <f>IF(AND(A175&gt;0,A175&lt;=Drivers!C19),Summary!C11*Drivers!C40/Drivers!C19*(1+Drivers!C21)^(A175/12),Summary!C11*(1-Drivers!C40 )*D175*(1+Drivers!C21)^(A175/12))</f>
        <v>0</v>
      </c>
      <c r="G175" s="14">
        <f>IF(AND(A175&gt;0,A175&lt;=2),Drivers!C16/2,0)</f>
        <v>0</v>
      </c>
      <c r="H175" s="14">
        <f>IF(A175=(Drivers!C19+Drivers!C20),Drivers!C17*(1+Drivers!C21)^(A175/12),0)</f>
        <v>0</v>
      </c>
      <c r="I175" s="14">
        <f>IF(AND(A175&gt;0,A175&lt;=(Drivers!C19+Drivers!C20)),Drivers!C18*(1+Drivers!C23)^(A175/12),0)</f>
        <v>0</v>
      </c>
      <c r="J175" s="14">
        <f t="shared" si="1"/>
        <v>0</v>
      </c>
      <c r="K175" s="12">
        <f>IF(A175&gt;(Drivers!C19+Drivers!C20),MIN(1,0.5+0.5*(A175-(Drivers!C19+Drivers!C20))/Drivers!C39),0)</f>
        <v>1</v>
      </c>
      <c r="L175" s="14">
        <f>Drivers!C2*(B175-B174)*Drivers!C24*(1+Drivers!C22)^(A175/12)*Drivers!C25*K175</f>
        <v>883976.4258</v>
      </c>
      <c r="M175" s="14">
        <f>L175*Drivers!C26</f>
        <v>176795.2852</v>
      </c>
      <c r="N175" s="14">
        <f>(L175+M175)*Drivers!C27</f>
        <v>371270.0989</v>
      </c>
      <c r="O175" s="14">
        <f>IF(A175&gt;(Drivers!C19+Drivers!C20),Drivers!C28/12*(1+Drivers!C23)^(A175/12),0)</f>
        <v>586735.9789</v>
      </c>
      <c r="P175" s="14">
        <f>(L175+M175)*Drivers!C29</f>
        <v>42430.86844</v>
      </c>
      <c r="Q175" s="14">
        <f>Drivers!C3*Drivers!C30*(1+Drivers!C22)^(A175/12)*Drivers!C31*(1-Drivers!C32 )*K175</f>
        <v>67327.95358</v>
      </c>
      <c r="R175" s="14">
        <f>IF(A175&gt;(Drivers!C19+Drivers!C20),Drivers!C33/12*(1+Drivers!C23)^(A175/12),0)</f>
        <v>88010.39684</v>
      </c>
      <c r="S175" s="14">
        <f t="shared" si="2"/>
        <v>39652.32154</v>
      </c>
      <c r="T175" s="14">
        <f t="shared" si="6"/>
        <v>566957.8689</v>
      </c>
      <c r="U175" s="14">
        <f>IF(AND(A175&gt;Drivers!C19,A175&lt;=(Drivers!C19+Drivers!C20)),Summary!C31*D175,0)</f>
        <v>0</v>
      </c>
      <c r="V175" s="14">
        <f>IF(A175&lt;=(Drivers!C19+Drivers!C20),(T175+U175/2)*Drivers!C36/12,T175*Drivers!C36/12)</f>
        <v>5433.346243</v>
      </c>
      <c r="W175" s="14">
        <f>IF(A175&gt;(Drivers!C19+Drivers!C20),MIN(T175,MAX(0,Summary!C32/12-V175)),0)</f>
        <v>8891.84088</v>
      </c>
      <c r="X175" s="14">
        <f>IF(A175=(Drivers!C19+1),Summary!C31*Drivers!C38,0)</f>
        <v>0</v>
      </c>
      <c r="Y175" s="14">
        <f t="shared" si="3"/>
        <v>558066.028</v>
      </c>
      <c r="Z175" s="14">
        <f t="shared" si="4"/>
        <v>25327.13442</v>
      </c>
      <c r="AA175" s="14">
        <f t="shared" si="7"/>
        <v>-108734404.1</v>
      </c>
      <c r="AB175" s="14">
        <f t="shared" si="5"/>
        <v>39652.32154</v>
      </c>
      <c r="AC175" s="14">
        <f>(E175+F175+G175+H175)*Drivers!C45</f>
        <v>0</v>
      </c>
      <c r="AD175" s="14">
        <f>IF(A175&lt;=Summary!C18,AB175+IF(A175=Summary!C18,Summary!C40,0),0)</f>
        <v>0</v>
      </c>
      <c r="AE175" s="14">
        <f>IF(A175&lt;=Summary!C18,Z175+IF(A175=Summary!C18,Summary!C40-Y175,0),0)</f>
        <v>0</v>
      </c>
      <c r="AF175" s="14">
        <f>AD175-IF(A175=0,Drivers!C44,0)</f>
        <v>0</v>
      </c>
      <c r="AG175" s="14">
        <f t="shared" si="8"/>
        <v>-107959916.7</v>
      </c>
    </row>
    <row r="176">
      <c r="A176" s="2">
        <v>174.0</v>
      </c>
      <c r="B176" s="15">
        <f>EDATE(Setup!B2,A176)</f>
        <v>51574</v>
      </c>
      <c r="C176" s="2" t="str">
        <f>IF(A176=0,"T0",IF(A176&lt;=Drivers!C19,"Preconstruction",IF(A176&lt;=(Drivers!C19+Drivers!C20),"Construction","Trading")))</f>
        <v>Trading</v>
      </c>
      <c r="D176" s="12">
        <f t="array" ref="D176">IF(AND(A176&gt;Drivers!C19,A176&lt;=(Drivers!C19+Drivers!C20)),SIN(PI()*(A176-Drivers!C19-0.5)/Drivers!C20)/SUMPRODUCT(SIN(PI()*(SEQUENCE(Drivers!C20,1)-0.5)/Drivers!C20)),0)</f>
        <v>0</v>
      </c>
      <c r="E176" s="14">
        <f>(Summary!C10+Summary!C12)*D176*(1+Drivers!C21)^(A176/12)</f>
        <v>0</v>
      </c>
      <c r="F176" s="14">
        <f>IF(AND(A176&gt;0,A176&lt;=Drivers!C19),Summary!C11*Drivers!C40/Drivers!C19*(1+Drivers!C21)^(A176/12),Summary!C11*(1-Drivers!C40 )*D176*(1+Drivers!C21)^(A176/12))</f>
        <v>0</v>
      </c>
      <c r="G176" s="14">
        <f>IF(AND(A176&gt;0,A176&lt;=2),Drivers!C16/2,0)</f>
        <v>0</v>
      </c>
      <c r="H176" s="14">
        <f>IF(A176=(Drivers!C19+Drivers!C20),Drivers!C17*(1+Drivers!C21)^(A176/12),0)</f>
        <v>0</v>
      </c>
      <c r="I176" s="14">
        <f>IF(AND(A176&gt;0,A176&lt;=(Drivers!C19+Drivers!C20)),Drivers!C18*(1+Drivers!C23)^(A176/12),0)</f>
        <v>0</v>
      </c>
      <c r="J176" s="14">
        <f t="shared" si="1"/>
        <v>0</v>
      </c>
      <c r="K176" s="12">
        <f>IF(A176&gt;(Drivers!C19+Drivers!C20),MIN(1,0.5+0.5*(A176-(Drivers!C19+Drivers!C20))/Drivers!C39),0)</f>
        <v>1</v>
      </c>
      <c r="L176" s="14">
        <f>Drivers!C2*(B176-B175)*Drivers!C24*(1+Drivers!C22)^(A176/12)*Drivers!C25*K176</f>
        <v>801044.1732</v>
      </c>
      <c r="M176" s="14">
        <f>L176*Drivers!C26</f>
        <v>160208.8346</v>
      </c>
      <c r="N176" s="14">
        <f>(L176+M176)*Drivers!C27</f>
        <v>336438.5528</v>
      </c>
      <c r="O176" s="14">
        <f>IF(A176&gt;(Drivers!C19+Drivers!C20),Drivers!C28/12*(1+Drivers!C23)^(A176/12),0)</f>
        <v>588656.7998</v>
      </c>
      <c r="P176" s="14">
        <f>(L176+M176)*Drivers!C29</f>
        <v>38450.12031</v>
      </c>
      <c r="Q176" s="14">
        <f>Drivers!C3*Drivers!C30*(1+Drivers!C22)^(A176/12)*Drivers!C31*(1-Drivers!C32 )*K176</f>
        <v>67548.36778</v>
      </c>
      <c r="R176" s="14">
        <f>IF(A176&gt;(Drivers!C19+Drivers!C20),Drivers!C33/12*(1+Drivers!C23)^(A176/12),0)</f>
        <v>88298.51998</v>
      </c>
      <c r="S176" s="14">
        <f t="shared" si="2"/>
        <v>-23042.61724</v>
      </c>
      <c r="T176" s="14">
        <f t="shared" si="6"/>
        <v>558066.028</v>
      </c>
      <c r="U176" s="14">
        <f>IF(AND(A176&gt;Drivers!C19,A176&lt;=(Drivers!C19+Drivers!C20)),Summary!C31*D176,0)</f>
        <v>0</v>
      </c>
      <c r="V176" s="14">
        <f>IF(A176&lt;=(Drivers!C19+Drivers!C20),(T176+U176/2)*Drivers!C36/12,T176*Drivers!C36/12)</f>
        <v>5348.132768</v>
      </c>
      <c r="W176" s="14">
        <f>IF(A176&gt;(Drivers!C19+Drivers!C20),MIN(T176,MAX(0,Summary!C32/12-V176)),0)</f>
        <v>8977.054355</v>
      </c>
      <c r="X176" s="14">
        <f>IF(A176=(Drivers!C19+1),Summary!C31*Drivers!C38,0)</f>
        <v>0</v>
      </c>
      <c r="Y176" s="14">
        <f t="shared" si="3"/>
        <v>549088.9736</v>
      </c>
      <c r="Z176" s="14">
        <f t="shared" si="4"/>
        <v>-37367.80436</v>
      </c>
      <c r="AA176" s="14">
        <f t="shared" si="7"/>
        <v>-108771771.9</v>
      </c>
      <c r="AB176" s="14">
        <f t="shared" si="5"/>
        <v>-23042.61724</v>
      </c>
      <c r="AC176" s="14">
        <f>(E176+F176+G176+H176)*Drivers!C45</f>
        <v>0</v>
      </c>
      <c r="AD176" s="14">
        <f>IF(A176&lt;=Summary!C18,AB176+IF(A176=Summary!C18,Summary!C40,0),0)</f>
        <v>0</v>
      </c>
      <c r="AE176" s="14">
        <f>IF(A176&lt;=Summary!C18,Z176+IF(A176=Summary!C18,Summary!C40-Y176,0),0)</f>
        <v>0</v>
      </c>
      <c r="AF176" s="14">
        <f>AD176-IF(A176=0,Drivers!C44,0)</f>
        <v>0</v>
      </c>
      <c r="AG176" s="14">
        <f t="shared" si="8"/>
        <v>-107982959.3</v>
      </c>
    </row>
    <row r="177">
      <c r="A177" s="2">
        <v>175.0</v>
      </c>
      <c r="B177" s="15">
        <f>EDATE(Setup!B2,A177)</f>
        <v>51605</v>
      </c>
      <c r="C177" s="2" t="str">
        <f>IF(A177=0,"T0",IF(A177&lt;=Drivers!C19,"Preconstruction",IF(A177&lt;=(Drivers!C19+Drivers!C20),"Construction","Trading")))</f>
        <v>Trading</v>
      </c>
      <c r="D177" s="12">
        <f t="array" ref="D177">IF(AND(A177&gt;Drivers!C19,A177&lt;=(Drivers!C19+Drivers!C20)),SIN(PI()*(A177-Drivers!C19-0.5)/Drivers!C20)/SUMPRODUCT(SIN(PI()*(SEQUENCE(Drivers!C20,1)-0.5)/Drivers!C20)),0)</f>
        <v>0</v>
      </c>
      <c r="E177" s="14">
        <f>(Summary!C10+Summary!C12)*D177*(1+Drivers!C21)^(A177/12)</f>
        <v>0</v>
      </c>
      <c r="F177" s="14">
        <f>IF(AND(A177&gt;0,A177&lt;=Drivers!C19),Summary!C11*Drivers!C40/Drivers!C19*(1+Drivers!C21)^(A177/12),Summary!C11*(1-Drivers!C40 )*D177*(1+Drivers!C21)^(A177/12))</f>
        <v>0</v>
      </c>
      <c r="G177" s="14">
        <f>IF(AND(A177&gt;0,A177&lt;=2),Drivers!C16/2,0)</f>
        <v>0</v>
      </c>
      <c r="H177" s="14">
        <f>IF(A177=(Drivers!C19+Drivers!C20),Drivers!C17*(1+Drivers!C21)^(A177/12),0)</f>
        <v>0</v>
      </c>
      <c r="I177" s="14">
        <f>IF(AND(A177&gt;0,A177&lt;=(Drivers!C19+Drivers!C20)),Drivers!C18*(1+Drivers!C23)^(A177/12),0)</f>
        <v>0</v>
      </c>
      <c r="J177" s="14">
        <f t="shared" si="1"/>
        <v>0</v>
      </c>
      <c r="K177" s="12">
        <f>IF(A177&gt;(Drivers!C19+Drivers!C20),MIN(1,0.5+0.5*(A177-(Drivers!C19+Drivers!C20))/Drivers!C39),0)</f>
        <v>1</v>
      </c>
      <c r="L177" s="14">
        <f>Drivers!C2*(B177-B176)*Drivers!C24*(1+Drivers!C22)^(A177/12)*Drivers!C25*K177</f>
        <v>889773.7173</v>
      </c>
      <c r="M177" s="14">
        <f>L177*Drivers!C26</f>
        <v>177954.7435</v>
      </c>
      <c r="N177" s="14">
        <f>(L177+M177)*Drivers!C27</f>
        <v>373704.9613</v>
      </c>
      <c r="O177" s="14">
        <f>IF(A177&gt;(Drivers!C19+Drivers!C20),Drivers!C28/12*(1+Drivers!C23)^(A177/12),0)</f>
        <v>590583.909</v>
      </c>
      <c r="P177" s="14">
        <f>(L177+M177)*Drivers!C29</f>
        <v>42709.13843</v>
      </c>
      <c r="Q177" s="14">
        <f>Drivers!C3*Drivers!C30*(1+Drivers!C22)^(A177/12)*Drivers!C31*(1-Drivers!C32 )*K177</f>
        <v>67769.50356</v>
      </c>
      <c r="R177" s="14">
        <f>IF(A177&gt;(Drivers!C19+Drivers!C20),Drivers!C33/12*(1+Drivers!C23)^(A177/12),0)</f>
        <v>88587.58635</v>
      </c>
      <c r="S177" s="14">
        <f t="shared" si="2"/>
        <v>39912.36927</v>
      </c>
      <c r="T177" s="14">
        <f t="shared" si="6"/>
        <v>549088.9736</v>
      </c>
      <c r="U177" s="14">
        <f>IF(AND(A177&gt;Drivers!C19,A177&lt;=(Drivers!C19+Drivers!C20)),Summary!C31*D177,0)</f>
        <v>0</v>
      </c>
      <c r="V177" s="14">
        <f>IF(A177&lt;=(Drivers!C19+Drivers!C20),(T177+U177/2)*Drivers!C36/12,T177*Drivers!C36/12)</f>
        <v>5262.102664</v>
      </c>
      <c r="W177" s="14">
        <f>IF(A177&gt;(Drivers!C19+Drivers!C20),MIN(T177,MAX(0,Summary!C32/12-V177)),0)</f>
        <v>9063.084459</v>
      </c>
      <c r="X177" s="14">
        <f>IF(A177=(Drivers!C19+1),Summary!C31*Drivers!C38,0)</f>
        <v>0</v>
      </c>
      <c r="Y177" s="14">
        <f t="shared" si="3"/>
        <v>540025.8892</v>
      </c>
      <c r="Z177" s="14">
        <f t="shared" si="4"/>
        <v>25587.18215</v>
      </c>
      <c r="AA177" s="14">
        <f t="shared" si="7"/>
        <v>-108746184.7</v>
      </c>
      <c r="AB177" s="14">
        <f t="shared" si="5"/>
        <v>39912.36927</v>
      </c>
      <c r="AC177" s="14">
        <f>(E177+F177+G177+H177)*Drivers!C45</f>
        <v>0</v>
      </c>
      <c r="AD177" s="14">
        <f>IF(A177&lt;=Summary!C18,AB177+IF(A177=Summary!C18,Summary!C40,0),0)</f>
        <v>0</v>
      </c>
      <c r="AE177" s="14">
        <f>IF(A177&lt;=Summary!C18,Z177+IF(A177=Summary!C18,Summary!C40-Y177,0),0)</f>
        <v>0</v>
      </c>
      <c r="AF177" s="14">
        <f>AD177-IF(A177=0,Drivers!C44,0)</f>
        <v>0</v>
      </c>
      <c r="AG177" s="14">
        <f t="shared" si="8"/>
        <v>-107943047</v>
      </c>
    </row>
    <row r="178">
      <c r="A178" s="2">
        <v>176.0</v>
      </c>
      <c r="B178" s="15">
        <f>EDATE(Setup!B2,A178)</f>
        <v>51635</v>
      </c>
      <c r="C178" s="2" t="str">
        <f>IF(A178=0,"T0",IF(A178&lt;=Drivers!C19,"Preconstruction",IF(A178&lt;=(Drivers!C19+Drivers!C20),"Construction","Trading")))</f>
        <v>Trading</v>
      </c>
      <c r="D178" s="12">
        <f t="array" ref="D178">IF(AND(A178&gt;Drivers!C19,A178&lt;=(Drivers!C19+Drivers!C20)),SIN(PI()*(A178-Drivers!C19-0.5)/Drivers!C20)/SUMPRODUCT(SIN(PI()*(SEQUENCE(Drivers!C20,1)-0.5)/Drivers!C20)),0)</f>
        <v>0</v>
      </c>
      <c r="E178" s="14">
        <f>(Summary!C10+Summary!C12)*D178*(1+Drivers!C21)^(A178/12)</f>
        <v>0</v>
      </c>
      <c r="F178" s="14">
        <f>IF(AND(A178&gt;0,A178&lt;=Drivers!C19),Summary!C11*Drivers!C40/Drivers!C19*(1+Drivers!C21)^(A178/12),Summary!C11*(1-Drivers!C40 )*D178*(1+Drivers!C21)^(A178/12))</f>
        <v>0</v>
      </c>
      <c r="G178" s="14">
        <f>IF(AND(A178&gt;0,A178&lt;=2),Drivers!C16/2,0)</f>
        <v>0</v>
      </c>
      <c r="H178" s="14">
        <f>IF(A178=(Drivers!C19+Drivers!C20),Drivers!C17*(1+Drivers!C21)^(A178/12),0)</f>
        <v>0</v>
      </c>
      <c r="I178" s="14">
        <f>IF(AND(A178&gt;0,A178&lt;=(Drivers!C19+Drivers!C20)),Drivers!C18*(1+Drivers!C23)^(A178/12),0)</f>
        <v>0</v>
      </c>
      <c r="J178" s="14">
        <f t="shared" si="1"/>
        <v>0</v>
      </c>
      <c r="K178" s="12">
        <f>IF(A178&gt;(Drivers!C19+Drivers!C20),MIN(1,0.5+0.5*(A178-(Drivers!C19+Drivers!C20))/Drivers!C39),0)</f>
        <v>1</v>
      </c>
      <c r="L178" s="14">
        <f>Drivers!C2*(B178-B177)*Drivers!C24*(1+Drivers!C22)^(A178/12)*Drivers!C25*K178</f>
        <v>863890.2629</v>
      </c>
      <c r="M178" s="14">
        <f>L178*Drivers!C26</f>
        <v>172778.0526</v>
      </c>
      <c r="N178" s="14">
        <f>(L178+M178)*Drivers!C27</f>
        <v>362833.9104</v>
      </c>
      <c r="O178" s="14">
        <f>IF(A178&gt;(Drivers!C19+Drivers!C20),Drivers!C28/12*(1+Drivers!C23)^(A178/12),0)</f>
        <v>592517.3271</v>
      </c>
      <c r="P178" s="14">
        <f>(L178+M178)*Drivers!C29</f>
        <v>41466.73262</v>
      </c>
      <c r="Q178" s="14">
        <f>Drivers!C3*Drivers!C30*(1+Drivers!C22)^(A178/12)*Drivers!C31*(1-Drivers!C32 )*K178</f>
        <v>67991.36328</v>
      </c>
      <c r="R178" s="14">
        <f>IF(A178&gt;(Drivers!C19+Drivers!C20),Drivers!C33/12*(1+Drivers!C23)^(A178/12),0)</f>
        <v>88877.59906</v>
      </c>
      <c r="S178" s="14">
        <f t="shared" si="2"/>
        <v>18964.10957</v>
      </c>
      <c r="T178" s="14">
        <f t="shared" si="6"/>
        <v>540025.8892</v>
      </c>
      <c r="U178" s="14">
        <f>IF(AND(A178&gt;Drivers!C19,A178&lt;=(Drivers!C19+Drivers!C20)),Summary!C31*D178,0)</f>
        <v>0</v>
      </c>
      <c r="V178" s="14">
        <f>IF(A178&lt;=(Drivers!C19+Drivers!C20),(T178+U178/2)*Drivers!C36/12,T178*Drivers!C36/12)</f>
        <v>5175.248104</v>
      </c>
      <c r="W178" s="14">
        <f>IF(A178&gt;(Drivers!C19+Drivers!C20),MIN(T178,MAX(0,Summary!C32/12-V178)),0)</f>
        <v>9149.939018</v>
      </c>
      <c r="X178" s="14">
        <f>IF(A178=(Drivers!C19+1),Summary!C31*Drivers!C38,0)</f>
        <v>0</v>
      </c>
      <c r="Y178" s="14">
        <f t="shared" si="3"/>
        <v>530875.9501</v>
      </c>
      <c r="Z178" s="14">
        <f t="shared" si="4"/>
        <v>4638.922447</v>
      </c>
      <c r="AA178" s="14">
        <f t="shared" si="7"/>
        <v>-108741545.8</v>
      </c>
      <c r="AB178" s="14">
        <f t="shared" si="5"/>
        <v>18964.10957</v>
      </c>
      <c r="AC178" s="14">
        <f>(E178+F178+G178+H178)*Drivers!C45</f>
        <v>0</v>
      </c>
      <c r="AD178" s="14">
        <f>IF(A178&lt;=Summary!C18,AB178+IF(A178=Summary!C18,Summary!C40,0),0)</f>
        <v>0</v>
      </c>
      <c r="AE178" s="14">
        <f>IF(A178&lt;=Summary!C18,Z178+IF(A178=Summary!C18,Summary!C40-Y178,0),0)</f>
        <v>0</v>
      </c>
      <c r="AF178" s="14">
        <f>AD178-IF(A178=0,Drivers!C44,0)</f>
        <v>0</v>
      </c>
      <c r="AG178" s="14">
        <f t="shared" si="8"/>
        <v>-107924082.8</v>
      </c>
    </row>
    <row r="179">
      <c r="A179" s="2">
        <v>177.0</v>
      </c>
      <c r="B179" s="15">
        <f>EDATE(Setup!B2,A179)</f>
        <v>51666</v>
      </c>
      <c r="C179" s="2" t="str">
        <f>IF(A179=0,"T0",IF(A179&lt;=Drivers!C19,"Preconstruction",IF(A179&lt;=(Drivers!C19+Drivers!C20),"Construction","Trading")))</f>
        <v>Trading</v>
      </c>
      <c r="D179" s="12">
        <f t="array" ref="D179">IF(AND(A179&gt;Drivers!C19,A179&lt;=(Drivers!C19+Drivers!C20)),SIN(PI()*(A179-Drivers!C19-0.5)/Drivers!C20)/SUMPRODUCT(SIN(PI()*(SEQUENCE(Drivers!C20,1)-0.5)/Drivers!C20)),0)</f>
        <v>0</v>
      </c>
      <c r="E179" s="14">
        <f>(Summary!C10+Summary!C12)*D179*(1+Drivers!C21)^(A179/12)</f>
        <v>0</v>
      </c>
      <c r="F179" s="14">
        <f>IF(AND(A179&gt;0,A179&lt;=Drivers!C19),Summary!C11*Drivers!C40/Drivers!C19*(1+Drivers!C21)^(A179/12),Summary!C11*(1-Drivers!C40 )*D179*(1+Drivers!C21)^(A179/12))</f>
        <v>0</v>
      </c>
      <c r="G179" s="14">
        <f>IF(AND(A179&gt;0,A179&lt;=2),Drivers!C16/2,0)</f>
        <v>0</v>
      </c>
      <c r="H179" s="14">
        <f>IF(A179=(Drivers!C19+Drivers!C20),Drivers!C17*(1+Drivers!C21)^(A179/12),0)</f>
        <v>0</v>
      </c>
      <c r="I179" s="14">
        <f>IF(AND(A179&gt;0,A179&lt;=(Drivers!C19+Drivers!C20)),Drivers!C18*(1+Drivers!C23)^(A179/12),0)</f>
        <v>0</v>
      </c>
      <c r="J179" s="14">
        <f t="shared" si="1"/>
        <v>0</v>
      </c>
      <c r="K179" s="12">
        <f>IF(A179&gt;(Drivers!C19+Drivers!C20),MIN(1,0.5+0.5*(A179-(Drivers!C19+Drivers!C20))/Drivers!C39),0)</f>
        <v>1</v>
      </c>
      <c r="L179" s="14">
        <f>Drivers!C2*(B179-B178)*Drivers!C24*(1+Drivers!C22)^(A179/12)*Drivers!C25*K179</f>
        <v>895609.0286</v>
      </c>
      <c r="M179" s="14">
        <f>L179*Drivers!C26</f>
        <v>179121.8057</v>
      </c>
      <c r="N179" s="14">
        <f>(L179+M179)*Drivers!C27</f>
        <v>376155.792</v>
      </c>
      <c r="O179" s="14">
        <f>IF(A179&gt;(Drivers!C19+Drivers!C20),Drivers!C28/12*(1+Drivers!C23)^(A179/12),0)</f>
        <v>594457.0746</v>
      </c>
      <c r="P179" s="14">
        <f>(L179+M179)*Drivers!C29</f>
        <v>42989.23337</v>
      </c>
      <c r="Q179" s="14">
        <f>Drivers!C3*Drivers!C30*(1+Drivers!C22)^(A179/12)*Drivers!C31*(1-Drivers!C32 )*K179</f>
        <v>68213.94931</v>
      </c>
      <c r="R179" s="14">
        <f>IF(A179&gt;(Drivers!C19+Drivers!C20),Drivers!C33/12*(1+Drivers!C23)^(A179/12),0)</f>
        <v>89168.56119</v>
      </c>
      <c r="S179" s="14">
        <f t="shared" si="2"/>
        <v>40174.12245</v>
      </c>
      <c r="T179" s="14">
        <f t="shared" si="6"/>
        <v>530875.9501</v>
      </c>
      <c r="U179" s="14">
        <f>IF(AND(A179&gt;Drivers!C19,A179&lt;=(Drivers!C19+Drivers!C20)),Summary!C31*D179,0)</f>
        <v>0</v>
      </c>
      <c r="V179" s="14">
        <f>IF(A179&lt;=(Drivers!C19+Drivers!C20),(T179+U179/2)*Drivers!C36/12,T179*Drivers!C36/12)</f>
        <v>5087.561189</v>
      </c>
      <c r="W179" s="14">
        <f>IF(A179&gt;(Drivers!C19+Drivers!C20),MIN(T179,MAX(0,Summary!C32/12-V179)),0)</f>
        <v>9237.625934</v>
      </c>
      <c r="X179" s="14">
        <f>IF(A179=(Drivers!C19+1),Summary!C31*Drivers!C38,0)</f>
        <v>0</v>
      </c>
      <c r="Y179" s="14">
        <f t="shared" si="3"/>
        <v>521638.3242</v>
      </c>
      <c r="Z179" s="14">
        <f t="shared" si="4"/>
        <v>25848.93533</v>
      </c>
      <c r="AA179" s="14">
        <f t="shared" si="7"/>
        <v>-108715696.8</v>
      </c>
      <c r="AB179" s="14">
        <f t="shared" si="5"/>
        <v>40174.12245</v>
      </c>
      <c r="AC179" s="14">
        <f>(E179+F179+G179+H179)*Drivers!C45</f>
        <v>0</v>
      </c>
      <c r="AD179" s="14">
        <f>IF(A179&lt;=Summary!C18,AB179+IF(A179=Summary!C18,Summary!C40,0),0)</f>
        <v>0</v>
      </c>
      <c r="AE179" s="14">
        <f>IF(A179&lt;=Summary!C18,Z179+IF(A179=Summary!C18,Summary!C40-Y179,0),0)</f>
        <v>0</v>
      </c>
      <c r="AF179" s="14">
        <f>AD179-IF(A179=0,Drivers!C44,0)</f>
        <v>0</v>
      </c>
      <c r="AG179" s="14">
        <f t="shared" si="8"/>
        <v>-107883908.7</v>
      </c>
    </row>
    <row r="180">
      <c r="A180" s="2">
        <v>178.0</v>
      </c>
      <c r="B180" s="15">
        <f>EDATE(Setup!B2,A180)</f>
        <v>51696</v>
      </c>
      <c r="C180" s="2" t="str">
        <f>IF(A180=0,"T0",IF(A180&lt;=Drivers!C19,"Preconstruction",IF(A180&lt;=(Drivers!C19+Drivers!C20),"Construction","Trading")))</f>
        <v>Trading</v>
      </c>
      <c r="D180" s="12">
        <f t="array" ref="D180">IF(AND(A180&gt;Drivers!C19,A180&lt;=(Drivers!C19+Drivers!C20)),SIN(PI()*(A180-Drivers!C19-0.5)/Drivers!C20)/SUMPRODUCT(SIN(PI()*(SEQUENCE(Drivers!C20,1)-0.5)/Drivers!C20)),0)</f>
        <v>0</v>
      </c>
      <c r="E180" s="14">
        <f>(Summary!C10+Summary!C12)*D180*(1+Drivers!C21)^(A180/12)</f>
        <v>0</v>
      </c>
      <c r="F180" s="14">
        <f>IF(AND(A180&gt;0,A180&lt;=Drivers!C19),Summary!C11*Drivers!C40/Drivers!C19*(1+Drivers!C21)^(A180/12),Summary!C11*(1-Drivers!C40 )*D180*(1+Drivers!C21)^(A180/12))</f>
        <v>0</v>
      </c>
      <c r="G180" s="14">
        <f>IF(AND(A180&gt;0,A180&lt;=2),Drivers!C16/2,0)</f>
        <v>0</v>
      </c>
      <c r="H180" s="14">
        <f>IF(A180=(Drivers!C19+Drivers!C20),Drivers!C17*(1+Drivers!C21)^(A180/12),0)</f>
        <v>0</v>
      </c>
      <c r="I180" s="14">
        <f>IF(AND(A180&gt;0,A180&lt;=(Drivers!C19+Drivers!C20)),Drivers!C18*(1+Drivers!C23)^(A180/12),0)</f>
        <v>0</v>
      </c>
      <c r="J180" s="14">
        <f t="shared" si="1"/>
        <v>0</v>
      </c>
      <c r="K180" s="12">
        <f>IF(A180&gt;(Drivers!C19+Drivers!C20),MIN(1,0.5+0.5*(A180-(Drivers!C19+Drivers!C20))/Drivers!C39),0)</f>
        <v>1</v>
      </c>
      <c r="L180" s="14">
        <f>Drivers!C2*(B180-B179)*Drivers!C24*(1+Drivers!C22)^(A180/12)*Drivers!C25*K180</f>
        <v>869555.8253</v>
      </c>
      <c r="M180" s="14">
        <f>L180*Drivers!C26</f>
        <v>173911.1651</v>
      </c>
      <c r="N180" s="14">
        <f>(L180+M180)*Drivers!C27</f>
        <v>365213.4466</v>
      </c>
      <c r="O180" s="14">
        <f>IF(A180&gt;(Drivers!C19+Drivers!C20),Drivers!C28/12*(1+Drivers!C23)^(A180/12),0)</f>
        <v>596403.1724</v>
      </c>
      <c r="P180" s="14">
        <f>(L180+M180)*Drivers!C29</f>
        <v>41738.67962</v>
      </c>
      <c r="Q180" s="14">
        <f>Drivers!C3*Drivers!C30*(1+Drivers!C22)^(A180/12)*Drivers!C31*(1-Drivers!C32 )*K180</f>
        <v>68437.26403</v>
      </c>
      <c r="R180" s="14">
        <f>IF(A180&gt;(Drivers!C19+Drivers!C20),Drivers!C33/12*(1+Drivers!C23)^(A180/12),0)</f>
        <v>89460.47586</v>
      </c>
      <c r="S180" s="14">
        <f t="shared" si="2"/>
        <v>19088.47994</v>
      </c>
      <c r="T180" s="14">
        <f t="shared" si="6"/>
        <v>521638.3242</v>
      </c>
      <c r="U180" s="14">
        <f>IF(AND(A180&gt;Drivers!C19,A180&lt;=(Drivers!C19+Drivers!C20)),Summary!C31*D180,0)</f>
        <v>0</v>
      </c>
      <c r="V180" s="14">
        <f>IF(A180&lt;=(Drivers!C19+Drivers!C20),(T180+U180/2)*Drivers!C36/12,T180*Drivers!C36/12)</f>
        <v>4999.03394</v>
      </c>
      <c r="W180" s="14">
        <f>IF(A180&gt;(Drivers!C19+Drivers!C20),MIN(T180,MAX(0,Summary!C32/12-V180)),0)</f>
        <v>9326.153182</v>
      </c>
      <c r="X180" s="14">
        <f>IF(A180=(Drivers!C19+1),Summary!C31*Drivers!C38,0)</f>
        <v>0</v>
      </c>
      <c r="Y180" s="14">
        <f t="shared" si="3"/>
        <v>512312.171</v>
      </c>
      <c r="Z180" s="14">
        <f t="shared" si="4"/>
        <v>4763.292812</v>
      </c>
      <c r="AA180" s="14">
        <f t="shared" si="7"/>
        <v>-108710933.5</v>
      </c>
      <c r="AB180" s="14">
        <f t="shared" si="5"/>
        <v>19088.47994</v>
      </c>
      <c r="AC180" s="14">
        <f>(E180+F180+G180+H180)*Drivers!C45</f>
        <v>0</v>
      </c>
      <c r="AD180" s="14">
        <f>IF(A180&lt;=Summary!C18,AB180+IF(A180=Summary!C18,Summary!C40,0),0)</f>
        <v>0</v>
      </c>
      <c r="AE180" s="14">
        <f>IF(A180&lt;=Summary!C18,Z180+IF(A180=Summary!C18,Summary!C40-Y180,0),0)</f>
        <v>0</v>
      </c>
      <c r="AF180" s="14">
        <f>AD180-IF(A180=0,Drivers!C44,0)</f>
        <v>0</v>
      </c>
      <c r="AG180" s="14">
        <f t="shared" si="8"/>
        <v>-107864820.2</v>
      </c>
    </row>
    <row r="181">
      <c r="A181" s="2">
        <v>179.0</v>
      </c>
      <c r="B181" s="15">
        <f>EDATE(Setup!B2,A181)</f>
        <v>51727</v>
      </c>
      <c r="C181" s="2" t="str">
        <f>IF(A181=0,"T0",IF(A181&lt;=Drivers!C19,"Preconstruction",IF(A181&lt;=(Drivers!C19+Drivers!C20),"Construction","Trading")))</f>
        <v>Trading</v>
      </c>
      <c r="D181" s="12">
        <f t="array" ref="D181">IF(AND(A181&gt;Drivers!C19,A181&lt;=(Drivers!C19+Drivers!C20)),SIN(PI()*(A181-Drivers!C19-0.5)/Drivers!C20)/SUMPRODUCT(SIN(PI()*(SEQUENCE(Drivers!C20,1)-0.5)/Drivers!C20)),0)</f>
        <v>0</v>
      </c>
      <c r="E181" s="14">
        <f>(Summary!C10+Summary!C12)*D181*(1+Drivers!C21)^(A181/12)</f>
        <v>0</v>
      </c>
      <c r="F181" s="14">
        <f>IF(AND(A181&gt;0,A181&lt;=Drivers!C19),Summary!C11*Drivers!C40/Drivers!C19*(1+Drivers!C21)^(A181/12),Summary!C11*(1-Drivers!C40 )*D181*(1+Drivers!C21)^(A181/12))</f>
        <v>0</v>
      </c>
      <c r="G181" s="14">
        <f>IF(AND(A181&gt;0,A181&lt;=2),Drivers!C16/2,0)</f>
        <v>0</v>
      </c>
      <c r="H181" s="14">
        <f>IF(A181=(Drivers!C19+Drivers!C20),Drivers!C17*(1+Drivers!C21)^(A181/12),0)</f>
        <v>0</v>
      </c>
      <c r="I181" s="14">
        <f>IF(AND(A181&gt;0,A181&lt;=(Drivers!C19+Drivers!C20)),Drivers!C18*(1+Drivers!C23)^(A181/12),0)</f>
        <v>0</v>
      </c>
      <c r="J181" s="14">
        <f t="shared" si="1"/>
        <v>0</v>
      </c>
      <c r="K181" s="12">
        <f>IF(A181&gt;(Drivers!C19+Drivers!C20),MIN(1,0.5+0.5*(A181-(Drivers!C19+Drivers!C20))/Drivers!C39),0)</f>
        <v>1</v>
      </c>
      <c r="L181" s="14">
        <f>Drivers!C2*(B181-B180)*Drivers!C24*(1+Drivers!C22)^(A181/12)*Drivers!C25*K181</f>
        <v>901482.609</v>
      </c>
      <c r="M181" s="14">
        <f>L181*Drivers!C26</f>
        <v>180296.5218</v>
      </c>
      <c r="N181" s="14">
        <f>(L181+M181)*Drivers!C27</f>
        <v>378622.6958</v>
      </c>
      <c r="O181" s="14">
        <f>IF(A181&gt;(Drivers!C19+Drivers!C20),Drivers!C28/12*(1+Drivers!C23)^(A181/12),0)</f>
        <v>598355.6412</v>
      </c>
      <c r="P181" s="14">
        <f>(L181+M181)*Drivers!C29</f>
        <v>43271.16523</v>
      </c>
      <c r="Q181" s="14">
        <f>Drivers!C3*Drivers!C30*(1+Drivers!C22)^(A181/12)*Drivers!C31*(1-Drivers!C32 )*K181</f>
        <v>68661.30982</v>
      </c>
      <c r="R181" s="14">
        <f>IF(A181&gt;(Drivers!C19+Drivers!C20),Drivers!C33/12*(1+Drivers!C23)^(A181/12),0)</f>
        <v>89753.34618</v>
      </c>
      <c r="S181" s="14">
        <f t="shared" si="2"/>
        <v>40437.59226</v>
      </c>
      <c r="T181" s="14">
        <f t="shared" si="6"/>
        <v>512312.171</v>
      </c>
      <c r="U181" s="14">
        <f>IF(AND(A181&gt;Drivers!C19,A181&lt;=(Drivers!C19+Drivers!C20)),Summary!C31*D181,0)</f>
        <v>0</v>
      </c>
      <c r="V181" s="14">
        <f>IF(A181&lt;=(Drivers!C19+Drivers!C20),(T181+U181/2)*Drivers!C36/12,T181*Drivers!C36/12)</f>
        <v>4909.658306</v>
      </c>
      <c r="W181" s="14">
        <f>IF(A181&gt;(Drivers!C19+Drivers!C20),MIN(T181,MAX(0,Summary!C32/12-V181)),0)</f>
        <v>9415.528817</v>
      </c>
      <c r="X181" s="14">
        <f>IF(A181=(Drivers!C19+1),Summary!C31*Drivers!C38,0)</f>
        <v>0</v>
      </c>
      <c r="Y181" s="14">
        <f t="shared" si="3"/>
        <v>502896.6422</v>
      </c>
      <c r="Z181" s="14">
        <f t="shared" si="4"/>
        <v>26112.40513</v>
      </c>
      <c r="AA181" s="14">
        <f t="shared" si="7"/>
        <v>-108684821.1</v>
      </c>
      <c r="AB181" s="14">
        <f t="shared" si="5"/>
        <v>40437.59226</v>
      </c>
      <c r="AC181" s="14">
        <f>(E181+F181+G181+H181)*Drivers!C45</f>
        <v>0</v>
      </c>
      <c r="AD181" s="14">
        <f>IF(A181&lt;=Summary!C18,AB181+IF(A181=Summary!C18,Summary!C40,0),0)</f>
        <v>0</v>
      </c>
      <c r="AE181" s="14">
        <f>IF(A181&lt;=Summary!C18,Z181+IF(A181=Summary!C18,Summary!C40-Y181,0),0)</f>
        <v>0</v>
      </c>
      <c r="AF181" s="14">
        <f>AD181-IF(A181=0,Drivers!C44,0)</f>
        <v>0</v>
      </c>
      <c r="AG181" s="14">
        <f t="shared" si="8"/>
        <v>-107824382.6</v>
      </c>
    </row>
    <row r="182">
      <c r="A182" s="2">
        <v>180.0</v>
      </c>
      <c r="B182" s="15">
        <f>EDATE(Setup!B2,A182)</f>
        <v>51758</v>
      </c>
      <c r="C182" s="2" t="str">
        <f>IF(A182=0,"T0",IF(A182&lt;=Drivers!C19,"Preconstruction",IF(A182&lt;=(Drivers!C19+Drivers!C20),"Construction","Trading")))</f>
        <v>Trading</v>
      </c>
      <c r="D182" s="12">
        <f t="array" ref="D182">IF(AND(A182&gt;Drivers!C19,A182&lt;=(Drivers!C19+Drivers!C20)),SIN(PI()*(A182-Drivers!C19-0.5)/Drivers!C20)/SUMPRODUCT(SIN(PI()*(SEQUENCE(Drivers!C20,1)-0.5)/Drivers!C20)),0)</f>
        <v>0</v>
      </c>
      <c r="E182" s="14">
        <f>(Summary!C10+Summary!C12)*D182*(1+Drivers!C21)^(A182/12)</f>
        <v>0</v>
      </c>
      <c r="F182" s="14">
        <f>IF(AND(A182&gt;0,A182&lt;=Drivers!C19),Summary!C11*Drivers!C40/Drivers!C19*(1+Drivers!C21)^(A182/12),Summary!C11*(1-Drivers!C40 )*D182*(1+Drivers!C21)^(A182/12))</f>
        <v>0</v>
      </c>
      <c r="G182" s="14">
        <f>IF(AND(A182&gt;0,A182&lt;=2),Drivers!C16/2,0)</f>
        <v>0</v>
      </c>
      <c r="H182" s="14">
        <f>IF(A182=(Drivers!C19+Drivers!C20),Drivers!C17*(1+Drivers!C21)^(A182/12),0)</f>
        <v>0</v>
      </c>
      <c r="I182" s="14">
        <f>IF(AND(A182&gt;0,A182&lt;=(Drivers!C19+Drivers!C20)),Drivers!C18*(1+Drivers!C23)^(A182/12),0)</f>
        <v>0</v>
      </c>
      <c r="J182" s="14">
        <f t="shared" si="1"/>
        <v>0</v>
      </c>
      <c r="K182" s="12">
        <f>IF(A182&gt;(Drivers!C19+Drivers!C20),MIN(1,0.5+0.5*(A182-(Drivers!C19+Drivers!C20))/Drivers!C39),0)</f>
        <v>1</v>
      </c>
      <c r="L182" s="14">
        <f>Drivers!C2*(B182-B181)*Drivers!C24*(1+Drivers!C22)^(A182/12)*Drivers!C25*K182</f>
        <v>904433.8285</v>
      </c>
      <c r="M182" s="14">
        <f>L182*Drivers!C26</f>
        <v>180886.7657</v>
      </c>
      <c r="N182" s="14">
        <f>(L182+M182)*Drivers!C27</f>
        <v>379862.208</v>
      </c>
      <c r="O182" s="14">
        <f>IF(A182&gt;(Drivers!C19+Drivers!C20),Drivers!C28/12*(1+Drivers!C23)^(A182/12),0)</f>
        <v>600314.5018</v>
      </c>
      <c r="P182" s="14">
        <f>(L182+M182)*Drivers!C29</f>
        <v>43412.82377</v>
      </c>
      <c r="Q182" s="14">
        <f>Drivers!C3*Drivers!C30*(1+Drivers!C22)^(A182/12)*Drivers!C31*(1-Drivers!C32 )*K182</f>
        <v>68886.08909</v>
      </c>
      <c r="R182" s="14">
        <f>IF(A182&gt;(Drivers!C19+Drivers!C20),Drivers!C33/12*(1+Drivers!C23)^(A182/12),0)</f>
        <v>90047.17528</v>
      </c>
      <c r="S182" s="14">
        <f t="shared" si="2"/>
        <v>40569.97441</v>
      </c>
      <c r="T182" s="14">
        <f t="shared" si="6"/>
        <v>502896.6422</v>
      </c>
      <c r="U182" s="14">
        <f>IF(AND(A182&gt;Drivers!C19,A182&lt;=(Drivers!C19+Drivers!C20)),Summary!C31*D182,0)</f>
        <v>0</v>
      </c>
      <c r="V182" s="14">
        <f>IF(A182&lt;=(Drivers!C19+Drivers!C20),(T182+U182/2)*Drivers!C36/12,T182*Drivers!C36/12)</f>
        <v>4819.426154</v>
      </c>
      <c r="W182" s="14">
        <f>IF(A182&gt;(Drivers!C19+Drivers!C20),MIN(T182,MAX(0,Summary!C32/12-V182)),0)</f>
        <v>9505.760968</v>
      </c>
      <c r="X182" s="14">
        <f>IF(A182=(Drivers!C19+1),Summary!C31*Drivers!C38,0)</f>
        <v>0</v>
      </c>
      <c r="Y182" s="14">
        <f t="shared" si="3"/>
        <v>493390.8812</v>
      </c>
      <c r="Z182" s="14">
        <f t="shared" si="4"/>
        <v>26244.78729</v>
      </c>
      <c r="AA182" s="14">
        <f t="shared" si="7"/>
        <v>-108658576.3</v>
      </c>
      <c r="AB182" s="14">
        <f t="shared" si="5"/>
        <v>40569.97441</v>
      </c>
      <c r="AC182" s="14">
        <f>(E182+F182+G182+H182)*Drivers!C45</f>
        <v>0</v>
      </c>
      <c r="AD182" s="14">
        <f>IF(A182&lt;=Summary!C18,AB182+IF(A182=Summary!C18,Summary!C40,0),0)</f>
        <v>0</v>
      </c>
      <c r="AE182" s="14">
        <f>IF(A182&lt;=Summary!C18,Z182+IF(A182=Summary!C18,Summary!C40-Y182,0),0)</f>
        <v>0</v>
      </c>
      <c r="AF182" s="14">
        <f>AD182-IF(A182=0,Drivers!C44,0)</f>
        <v>0</v>
      </c>
      <c r="AG182" s="14">
        <f t="shared" si="8"/>
        <v>-107783812.7</v>
      </c>
    </row>
    <row r="183">
      <c r="A183" s="2">
        <v>181.0</v>
      </c>
      <c r="B183" s="15">
        <f>EDATE(Setup!B2,A183)</f>
        <v>51788</v>
      </c>
      <c r="C183" s="2" t="str">
        <f>IF(A183=0,"T0",IF(A183&lt;=Drivers!C19,"Preconstruction",IF(A183&lt;=(Drivers!C19+Drivers!C20),"Construction","Trading")))</f>
        <v>Trading</v>
      </c>
      <c r="D183" s="12">
        <f t="array" ref="D183">IF(AND(A183&gt;Drivers!C19,A183&lt;=(Drivers!C19+Drivers!C20)),SIN(PI()*(A183-Drivers!C19-0.5)/Drivers!C20)/SUMPRODUCT(SIN(PI()*(SEQUENCE(Drivers!C20,1)-0.5)/Drivers!C20)),0)</f>
        <v>0</v>
      </c>
      <c r="E183" s="14">
        <f>(Summary!C10+Summary!C12)*D183*(1+Drivers!C21)^(A183/12)</f>
        <v>0</v>
      </c>
      <c r="F183" s="14">
        <f>IF(AND(A183&gt;0,A183&lt;=Drivers!C19),Summary!C11*Drivers!C40/Drivers!C19*(1+Drivers!C21)^(A183/12),Summary!C11*(1-Drivers!C40 )*D183*(1+Drivers!C21)^(A183/12))</f>
        <v>0</v>
      </c>
      <c r="G183" s="14">
        <f>IF(AND(A183&gt;0,A183&lt;=2),Drivers!C16/2,0)</f>
        <v>0</v>
      </c>
      <c r="H183" s="14">
        <f>IF(A183=(Drivers!C19+Drivers!C20),Drivers!C17*(1+Drivers!C21)^(A183/12),0)</f>
        <v>0</v>
      </c>
      <c r="I183" s="14">
        <f>IF(AND(A183&gt;0,A183&lt;=(Drivers!C19+Drivers!C20)),Drivers!C18*(1+Drivers!C23)^(A183/12),0)</f>
        <v>0</v>
      </c>
      <c r="J183" s="14">
        <f t="shared" si="1"/>
        <v>0</v>
      </c>
      <c r="K183" s="12">
        <f>IF(A183&gt;(Drivers!C19+Drivers!C20),MIN(1,0.5+0.5*(A183-(Drivers!C19+Drivers!C20))/Drivers!C39),0)</f>
        <v>1</v>
      </c>
      <c r="L183" s="14">
        <f>Drivers!C2*(B183-B182)*Drivers!C24*(1+Drivers!C22)^(A183/12)*Drivers!C25*K183</f>
        <v>878123.9124</v>
      </c>
      <c r="M183" s="14">
        <f>L183*Drivers!C26</f>
        <v>175624.7825</v>
      </c>
      <c r="N183" s="14">
        <f>(L183+M183)*Drivers!C27</f>
        <v>368812.0432</v>
      </c>
      <c r="O183" s="14">
        <f>IF(A183&gt;(Drivers!C19+Drivers!C20),Drivers!C28/12*(1+Drivers!C23)^(A183/12),0)</f>
        <v>602279.7753</v>
      </c>
      <c r="P183" s="14">
        <f>(L183+M183)*Drivers!C29</f>
        <v>42149.94779</v>
      </c>
      <c r="Q183" s="14">
        <f>Drivers!C3*Drivers!C30*(1+Drivers!C22)^(A183/12)*Drivers!C31*(1-Drivers!C32 )*K183</f>
        <v>69111.60422</v>
      </c>
      <c r="R183" s="14">
        <f>IF(A183&gt;(Drivers!C19+Drivers!C20),Drivers!C33/12*(1+Drivers!C23)^(A183/12),0)</f>
        <v>90341.9663</v>
      </c>
      <c r="S183" s="14">
        <f t="shared" si="2"/>
        <v>19276.56649</v>
      </c>
      <c r="T183" s="14">
        <f t="shared" si="6"/>
        <v>493390.8812</v>
      </c>
      <c r="U183" s="14">
        <f>IF(AND(A183&gt;Drivers!C19,A183&lt;=(Drivers!C19+Drivers!C20)),Summary!C31*D183,0)</f>
        <v>0</v>
      </c>
      <c r="V183" s="14">
        <f>IF(A183&lt;=(Drivers!C19+Drivers!C20),(T183+U183/2)*Drivers!C36/12,T183*Drivers!C36/12)</f>
        <v>4728.329279</v>
      </c>
      <c r="W183" s="14">
        <f>IF(A183&gt;(Drivers!C19+Drivers!C20),MIN(T183,MAX(0,Summary!C32/12-V183)),0)</f>
        <v>9596.857844</v>
      </c>
      <c r="X183" s="14">
        <f>IF(A183=(Drivers!C19+1),Summary!C31*Drivers!C38,0)</f>
        <v>0</v>
      </c>
      <c r="Y183" s="14">
        <f t="shared" si="3"/>
        <v>483794.0234</v>
      </c>
      <c r="Z183" s="14">
        <f t="shared" si="4"/>
        <v>4951.379366</v>
      </c>
      <c r="AA183" s="14">
        <f t="shared" si="7"/>
        <v>-108653625</v>
      </c>
      <c r="AB183" s="14">
        <f t="shared" si="5"/>
        <v>19276.56649</v>
      </c>
      <c r="AC183" s="14">
        <f>(E183+F183+G183+H183)*Drivers!C45</f>
        <v>0</v>
      </c>
      <c r="AD183" s="14">
        <f>IF(A183&lt;=Summary!C18,AB183+IF(A183=Summary!C18,Summary!C40,0),0)</f>
        <v>0</v>
      </c>
      <c r="AE183" s="14">
        <f>IF(A183&lt;=Summary!C18,Z183+IF(A183=Summary!C18,Summary!C40-Y183,0),0)</f>
        <v>0</v>
      </c>
      <c r="AF183" s="14">
        <f>AD183-IF(A183=0,Drivers!C44,0)</f>
        <v>0</v>
      </c>
      <c r="AG183" s="14">
        <f t="shared" si="8"/>
        <v>-107764536.1</v>
      </c>
    </row>
    <row r="184">
      <c r="A184" s="2">
        <v>182.0</v>
      </c>
      <c r="B184" s="15">
        <f>EDATE(Setup!B2,A184)</f>
        <v>51819</v>
      </c>
      <c r="C184" s="2" t="str">
        <f>IF(A184=0,"T0",IF(A184&lt;=Drivers!C19,"Preconstruction",IF(A184&lt;=(Drivers!C19+Drivers!C20),"Construction","Trading")))</f>
        <v>Trading</v>
      </c>
      <c r="D184" s="12">
        <f t="array" ref="D184">IF(AND(A184&gt;Drivers!C19,A184&lt;=(Drivers!C19+Drivers!C20)),SIN(PI()*(A184-Drivers!C19-0.5)/Drivers!C20)/SUMPRODUCT(SIN(PI()*(SEQUENCE(Drivers!C20,1)-0.5)/Drivers!C20)),0)</f>
        <v>0</v>
      </c>
      <c r="E184" s="14">
        <f>(Summary!C10+Summary!C12)*D184*(1+Drivers!C21)^(A184/12)</f>
        <v>0</v>
      </c>
      <c r="F184" s="14">
        <f>IF(AND(A184&gt;0,A184&lt;=Drivers!C19),Summary!C11*Drivers!C40/Drivers!C19*(1+Drivers!C21)^(A184/12),Summary!C11*(1-Drivers!C40 )*D184*(1+Drivers!C21)^(A184/12))</f>
        <v>0</v>
      </c>
      <c r="G184" s="14">
        <f>IF(AND(A184&gt;0,A184&lt;=2),Drivers!C16/2,0)</f>
        <v>0</v>
      </c>
      <c r="H184" s="14">
        <f>IF(A184=(Drivers!C19+Drivers!C20),Drivers!C17*(1+Drivers!C21)^(A184/12),0)</f>
        <v>0</v>
      </c>
      <c r="I184" s="14">
        <f>IF(AND(A184&gt;0,A184&lt;=(Drivers!C19+Drivers!C20)),Drivers!C18*(1+Drivers!C23)^(A184/12),0)</f>
        <v>0</v>
      </c>
      <c r="J184" s="14">
        <f t="shared" si="1"/>
        <v>0</v>
      </c>
      <c r="K184" s="12">
        <f>IF(A184&gt;(Drivers!C19+Drivers!C20),MIN(1,0.5+0.5*(A184-(Drivers!C19+Drivers!C20))/Drivers!C39),0)</f>
        <v>1</v>
      </c>
      <c r="L184" s="14">
        <f>Drivers!C2*(B184-B183)*Drivers!C24*(1+Drivers!C22)^(A184/12)*Drivers!C25*K184</f>
        <v>910365.2836</v>
      </c>
      <c r="M184" s="14">
        <f>L184*Drivers!C26</f>
        <v>182073.0567</v>
      </c>
      <c r="N184" s="14">
        <f>(L184+M184)*Drivers!C27</f>
        <v>382353.4191</v>
      </c>
      <c r="O184" s="14">
        <f>IF(A184&gt;(Drivers!C19+Drivers!C20),Drivers!C28/12*(1+Drivers!C23)^(A184/12),0)</f>
        <v>604251.4826</v>
      </c>
      <c r="P184" s="14">
        <f>(L184+M184)*Drivers!C29</f>
        <v>43697.53361</v>
      </c>
      <c r="Q184" s="14">
        <f>Drivers!C3*Drivers!C30*(1+Drivers!C22)^(A184/12)*Drivers!C31*(1-Drivers!C32 )*K184</f>
        <v>69337.85762</v>
      </c>
      <c r="R184" s="14">
        <f>IF(A184&gt;(Drivers!C19+Drivers!C20),Drivers!C33/12*(1+Drivers!C23)^(A184/12),0)</f>
        <v>90637.72238</v>
      </c>
      <c r="S184" s="14">
        <f t="shared" si="2"/>
        <v>40836.04029</v>
      </c>
      <c r="T184" s="14">
        <f t="shared" si="6"/>
        <v>483794.0234</v>
      </c>
      <c r="U184" s="14">
        <f>IF(AND(A184&gt;Drivers!C19,A184&lt;=(Drivers!C19+Drivers!C20)),Summary!C31*D184,0)</f>
        <v>0</v>
      </c>
      <c r="V184" s="14">
        <f>IF(A184&lt;=(Drivers!C19+Drivers!C20),(T184+U184/2)*Drivers!C36/12,T184*Drivers!C36/12)</f>
        <v>4636.359391</v>
      </c>
      <c r="W184" s="14">
        <f>IF(A184&gt;(Drivers!C19+Drivers!C20),MIN(T184,MAX(0,Summary!C32/12-V184)),0)</f>
        <v>9688.827732</v>
      </c>
      <c r="X184" s="14">
        <f>IF(A184=(Drivers!C19+1),Summary!C31*Drivers!C38,0)</f>
        <v>0</v>
      </c>
      <c r="Y184" s="14">
        <f t="shared" si="3"/>
        <v>474105.1957</v>
      </c>
      <c r="Z184" s="14">
        <f t="shared" si="4"/>
        <v>26510.85317</v>
      </c>
      <c r="AA184" s="14">
        <f t="shared" si="7"/>
        <v>-108627114.1</v>
      </c>
      <c r="AB184" s="14">
        <f t="shared" si="5"/>
        <v>40836.04029</v>
      </c>
      <c r="AC184" s="14">
        <f>(E184+F184+G184+H184)*Drivers!C45</f>
        <v>0</v>
      </c>
      <c r="AD184" s="14">
        <f>IF(A184&lt;=Summary!C18,AB184+IF(A184=Summary!C18,Summary!C40,0),0)</f>
        <v>0</v>
      </c>
      <c r="AE184" s="14">
        <f>IF(A184&lt;=Summary!C18,Z184+IF(A184=Summary!C18,Summary!C40-Y184,0),0)</f>
        <v>0</v>
      </c>
      <c r="AF184" s="14">
        <f>AD184-IF(A184=0,Drivers!C44,0)</f>
        <v>0</v>
      </c>
      <c r="AG184" s="14">
        <f t="shared" si="8"/>
        <v>-107723700.1</v>
      </c>
    </row>
    <row r="185">
      <c r="A185" s="2">
        <v>183.0</v>
      </c>
      <c r="B185" s="15">
        <f>EDATE(Setup!B2,A185)</f>
        <v>51849</v>
      </c>
      <c r="C185" s="2" t="str">
        <f>IF(A185=0,"T0",IF(A185&lt;=Drivers!C19,"Preconstruction",IF(A185&lt;=(Drivers!C19+Drivers!C20),"Construction","Trading")))</f>
        <v>Trading</v>
      </c>
      <c r="D185" s="12">
        <f t="array" ref="D185">IF(AND(A185&gt;Drivers!C19,A185&lt;=(Drivers!C19+Drivers!C20)),SIN(PI()*(A185-Drivers!C19-0.5)/Drivers!C20)/SUMPRODUCT(SIN(PI()*(SEQUENCE(Drivers!C20,1)-0.5)/Drivers!C20)),0)</f>
        <v>0</v>
      </c>
      <c r="E185" s="14">
        <f>(Summary!C10+Summary!C12)*D185*(1+Drivers!C21)^(A185/12)</f>
        <v>0</v>
      </c>
      <c r="F185" s="14">
        <f>IF(AND(A185&gt;0,A185&lt;=Drivers!C19),Summary!C11*Drivers!C40/Drivers!C19*(1+Drivers!C21)^(A185/12),Summary!C11*(1-Drivers!C40 )*D185*(1+Drivers!C21)^(A185/12))</f>
        <v>0</v>
      </c>
      <c r="G185" s="14">
        <f>IF(AND(A185&gt;0,A185&lt;=2),Drivers!C16/2,0)</f>
        <v>0</v>
      </c>
      <c r="H185" s="14">
        <f>IF(A185=(Drivers!C19+Drivers!C20),Drivers!C17*(1+Drivers!C21)^(A185/12),0)</f>
        <v>0</v>
      </c>
      <c r="I185" s="14">
        <f>IF(AND(A185&gt;0,A185&lt;=(Drivers!C19+Drivers!C20)),Drivers!C18*(1+Drivers!C23)^(A185/12),0)</f>
        <v>0</v>
      </c>
      <c r="J185" s="14">
        <f t="shared" si="1"/>
        <v>0</v>
      </c>
      <c r="K185" s="12">
        <f>IF(A185&gt;(Drivers!C19+Drivers!C20),MIN(1,0.5+0.5*(A185-(Drivers!C19+Drivers!C20))/Drivers!C39),0)</f>
        <v>1</v>
      </c>
      <c r="L185" s="14">
        <f>Drivers!C2*(B185-B184)*Drivers!C24*(1+Drivers!C22)^(A185/12)*Drivers!C25*K185</f>
        <v>883882.8219</v>
      </c>
      <c r="M185" s="14">
        <f>L185*Drivers!C26</f>
        <v>176776.5644</v>
      </c>
      <c r="N185" s="14">
        <f>(L185+M185)*Drivers!C27</f>
        <v>371230.7852</v>
      </c>
      <c r="O185" s="14">
        <f>IF(A185&gt;(Drivers!C19+Drivers!C20),Drivers!C28/12*(1+Drivers!C23)^(A185/12),0)</f>
        <v>606229.6447</v>
      </c>
      <c r="P185" s="14">
        <f>(L185+M185)*Drivers!C29</f>
        <v>42426.37545</v>
      </c>
      <c r="Q185" s="14">
        <f>Drivers!C3*Drivers!C30*(1+Drivers!C22)^(A185/12)*Drivers!C31*(1-Drivers!C32 )*K185</f>
        <v>69564.85173</v>
      </c>
      <c r="R185" s="14">
        <f>IF(A185&gt;(Drivers!C19+Drivers!C20),Drivers!C33/12*(1+Drivers!C23)^(A185/12),0)</f>
        <v>90934.4467</v>
      </c>
      <c r="S185" s="14">
        <f t="shared" si="2"/>
        <v>19402.98601</v>
      </c>
      <c r="T185" s="14">
        <f t="shared" si="6"/>
        <v>474105.1957</v>
      </c>
      <c r="U185" s="14">
        <f>IF(AND(A185&gt;Drivers!C19,A185&lt;=(Drivers!C19+Drivers!C20)),Summary!C31*D185,0)</f>
        <v>0</v>
      </c>
      <c r="V185" s="14">
        <f>IF(A185&lt;=(Drivers!C19+Drivers!C20),(T185+U185/2)*Drivers!C36/12,T185*Drivers!C36/12)</f>
        <v>4543.508125</v>
      </c>
      <c r="W185" s="14">
        <f>IF(A185&gt;(Drivers!C19+Drivers!C20),MIN(T185,MAX(0,Summary!C32/12-V185)),0)</f>
        <v>9781.678998</v>
      </c>
      <c r="X185" s="14">
        <f>IF(A185=(Drivers!C19+1),Summary!C31*Drivers!C38,0)</f>
        <v>0</v>
      </c>
      <c r="Y185" s="14">
        <f t="shared" si="3"/>
        <v>464323.5167</v>
      </c>
      <c r="Z185" s="14">
        <f t="shared" si="4"/>
        <v>5077.798885</v>
      </c>
      <c r="AA185" s="14">
        <f t="shared" si="7"/>
        <v>-108622036.3</v>
      </c>
      <c r="AB185" s="14">
        <f t="shared" si="5"/>
        <v>19402.98601</v>
      </c>
      <c r="AC185" s="14">
        <f>(E185+F185+G185+H185)*Drivers!C45</f>
        <v>0</v>
      </c>
      <c r="AD185" s="14">
        <f>IF(A185&lt;=Summary!C18,AB185+IF(A185=Summary!C18,Summary!C40,0),0)</f>
        <v>0</v>
      </c>
      <c r="AE185" s="14">
        <f>IF(A185&lt;=Summary!C18,Z185+IF(A185=Summary!C18,Summary!C40-Y185,0),0)</f>
        <v>0</v>
      </c>
      <c r="AF185" s="14">
        <f>AD185-IF(A185=0,Drivers!C44,0)</f>
        <v>0</v>
      </c>
      <c r="AG185" s="14">
        <f t="shared" si="8"/>
        <v>-107704297.1</v>
      </c>
    </row>
    <row r="186">
      <c r="A186" s="2">
        <v>184.0</v>
      </c>
      <c r="B186" s="15">
        <f>EDATE(Setup!B2,A186)</f>
        <v>51880</v>
      </c>
      <c r="C186" s="2" t="str">
        <f>IF(A186=0,"T0",IF(A186&lt;=Drivers!C19,"Preconstruction",IF(A186&lt;=(Drivers!C19+Drivers!C20),"Construction","Trading")))</f>
        <v>Trading</v>
      </c>
      <c r="D186" s="12">
        <f t="array" ref="D186">IF(AND(A186&gt;Drivers!C19,A186&lt;=(Drivers!C19+Drivers!C20)),SIN(PI()*(A186-Drivers!C19-0.5)/Drivers!C20)/SUMPRODUCT(SIN(PI()*(SEQUENCE(Drivers!C20,1)-0.5)/Drivers!C20)),0)</f>
        <v>0</v>
      </c>
      <c r="E186" s="14">
        <f>(Summary!C10+Summary!C12)*D186*(1+Drivers!C21)^(A186/12)</f>
        <v>0</v>
      </c>
      <c r="F186" s="14">
        <f>IF(AND(A186&gt;0,A186&lt;=Drivers!C19),Summary!C11*Drivers!C40/Drivers!C19*(1+Drivers!C21)^(A186/12),Summary!C11*(1-Drivers!C40 )*D186*(1+Drivers!C21)^(A186/12))</f>
        <v>0</v>
      </c>
      <c r="G186" s="14">
        <f>IF(AND(A186&gt;0,A186&lt;=2),Drivers!C16/2,0)</f>
        <v>0</v>
      </c>
      <c r="H186" s="14">
        <f>IF(A186=(Drivers!C19+Drivers!C20),Drivers!C17*(1+Drivers!C21)^(A186/12),0)</f>
        <v>0</v>
      </c>
      <c r="I186" s="14">
        <f>IF(AND(A186&gt;0,A186&lt;=(Drivers!C19+Drivers!C20)),Drivers!C18*(1+Drivers!C23)^(A186/12),0)</f>
        <v>0</v>
      </c>
      <c r="J186" s="14">
        <f t="shared" si="1"/>
        <v>0</v>
      </c>
      <c r="K186" s="12">
        <f>IF(A186&gt;(Drivers!C19+Drivers!C20),MIN(1,0.5+0.5*(A186-(Drivers!C19+Drivers!C20))/Drivers!C39),0)</f>
        <v>1</v>
      </c>
      <c r="L186" s="14">
        <f>Drivers!C2*(B186-B185)*Drivers!C24*(1+Drivers!C22)^(A186/12)*Drivers!C25*K186</f>
        <v>916335.6384</v>
      </c>
      <c r="M186" s="14">
        <f>L186*Drivers!C26</f>
        <v>183267.1277</v>
      </c>
      <c r="N186" s="14">
        <f>(L186+M186)*Drivers!C27</f>
        <v>384860.9681</v>
      </c>
      <c r="O186" s="14">
        <f>IF(A186&gt;(Drivers!C19+Drivers!C20),Drivers!C28/12*(1+Drivers!C23)^(A186/12),0)</f>
        <v>608214.2828</v>
      </c>
      <c r="P186" s="14">
        <f>(L186+M186)*Drivers!C29</f>
        <v>43984.11065</v>
      </c>
      <c r="Q186" s="14">
        <f>Drivers!C3*Drivers!C30*(1+Drivers!C22)^(A186/12)*Drivers!C31*(1-Drivers!C32 )*K186</f>
        <v>69792.58895</v>
      </c>
      <c r="R186" s="14">
        <f>IF(A186&gt;(Drivers!C19+Drivers!C20),Drivers!C33/12*(1+Drivers!C23)^(A186/12),0)</f>
        <v>91232.14242</v>
      </c>
      <c r="S186" s="14">
        <f t="shared" si="2"/>
        <v>41103.85109</v>
      </c>
      <c r="T186" s="14">
        <f t="shared" si="6"/>
        <v>464323.5167</v>
      </c>
      <c r="U186" s="14">
        <f>IF(AND(A186&gt;Drivers!C19,A186&lt;=(Drivers!C19+Drivers!C20)),Summary!C31*D186,0)</f>
        <v>0</v>
      </c>
      <c r="V186" s="14">
        <f>IF(A186&lt;=(Drivers!C19+Drivers!C20),(T186+U186/2)*Drivers!C36/12,T186*Drivers!C36/12)</f>
        <v>4449.767035</v>
      </c>
      <c r="W186" s="14">
        <f>IF(A186&gt;(Drivers!C19+Drivers!C20),MIN(T186,MAX(0,Summary!C32/12-V186)),0)</f>
        <v>9875.420088</v>
      </c>
      <c r="X186" s="14">
        <f>IF(A186=(Drivers!C19+1),Summary!C31*Drivers!C38,0)</f>
        <v>0</v>
      </c>
      <c r="Y186" s="14">
        <f t="shared" si="3"/>
        <v>454448.0966</v>
      </c>
      <c r="Z186" s="14">
        <f t="shared" si="4"/>
        <v>26778.66396</v>
      </c>
      <c r="AA186" s="14">
        <f t="shared" si="7"/>
        <v>-108595257.6</v>
      </c>
      <c r="AB186" s="14">
        <f t="shared" si="5"/>
        <v>41103.85109</v>
      </c>
      <c r="AC186" s="14">
        <f>(E186+F186+G186+H186)*Drivers!C45</f>
        <v>0</v>
      </c>
      <c r="AD186" s="14">
        <f>IF(A186&lt;=Summary!C18,AB186+IF(A186=Summary!C18,Summary!C40,0),0)</f>
        <v>0</v>
      </c>
      <c r="AE186" s="14">
        <f>IF(A186&lt;=Summary!C18,Z186+IF(A186=Summary!C18,Summary!C40-Y186,0),0)</f>
        <v>0</v>
      </c>
      <c r="AF186" s="14">
        <f>AD186-IF(A186=0,Drivers!C44,0)</f>
        <v>0</v>
      </c>
      <c r="AG186" s="14">
        <f t="shared" si="8"/>
        <v>-107663193.2</v>
      </c>
    </row>
    <row r="187">
      <c r="A187" s="2">
        <v>185.0</v>
      </c>
      <c r="B187" s="15">
        <f>EDATE(Setup!B2,A187)</f>
        <v>51911</v>
      </c>
      <c r="C187" s="2" t="str">
        <f>IF(A187=0,"T0",IF(A187&lt;=Drivers!C19,"Preconstruction",IF(A187&lt;=(Drivers!C19+Drivers!C20),"Construction","Trading")))</f>
        <v>Trading</v>
      </c>
      <c r="D187" s="12">
        <f t="array" ref="D187">IF(AND(A187&gt;Drivers!C19,A187&lt;=(Drivers!C19+Drivers!C20)),SIN(PI()*(A187-Drivers!C19-0.5)/Drivers!C20)/SUMPRODUCT(SIN(PI()*(SEQUENCE(Drivers!C20,1)-0.5)/Drivers!C20)),0)</f>
        <v>0</v>
      </c>
      <c r="E187" s="14">
        <f>(Summary!C10+Summary!C12)*D187*(1+Drivers!C21)^(A187/12)</f>
        <v>0</v>
      </c>
      <c r="F187" s="14">
        <f>IF(AND(A187&gt;0,A187&lt;=Drivers!C19),Summary!C11*Drivers!C40/Drivers!C19*(1+Drivers!C21)^(A187/12),Summary!C11*(1-Drivers!C40 )*D187*(1+Drivers!C21)^(A187/12))</f>
        <v>0</v>
      </c>
      <c r="G187" s="14">
        <f>IF(AND(A187&gt;0,A187&lt;=2),Drivers!C16/2,0)</f>
        <v>0</v>
      </c>
      <c r="H187" s="14">
        <f>IF(A187=(Drivers!C19+Drivers!C20),Drivers!C17*(1+Drivers!C21)^(A187/12),0)</f>
        <v>0</v>
      </c>
      <c r="I187" s="14">
        <f>IF(AND(A187&gt;0,A187&lt;=(Drivers!C19+Drivers!C20)),Drivers!C18*(1+Drivers!C23)^(A187/12),0)</f>
        <v>0</v>
      </c>
      <c r="J187" s="14">
        <f t="shared" si="1"/>
        <v>0</v>
      </c>
      <c r="K187" s="12">
        <f>IF(A187&gt;(Drivers!C19+Drivers!C20),MIN(1,0.5+0.5*(A187-(Drivers!C19+Drivers!C20))/Drivers!C39),0)</f>
        <v>1</v>
      </c>
      <c r="L187" s="14">
        <f>Drivers!C2*(B187-B186)*Drivers!C24*(1+Drivers!C22)^(A187/12)*Drivers!C25*K187</f>
        <v>919335.4829</v>
      </c>
      <c r="M187" s="14">
        <f>L187*Drivers!C26</f>
        <v>183867.0966</v>
      </c>
      <c r="N187" s="14">
        <f>(L187+M187)*Drivers!C27</f>
        <v>386120.9028</v>
      </c>
      <c r="O187" s="14">
        <f>IF(A187&gt;(Drivers!C19+Drivers!C20),Drivers!C28/12*(1+Drivers!C23)^(A187/12),0)</f>
        <v>610205.4181</v>
      </c>
      <c r="P187" s="14">
        <f>(L187+M187)*Drivers!C29</f>
        <v>44128.10318</v>
      </c>
      <c r="Q187" s="14">
        <f>Drivers!C3*Drivers!C30*(1+Drivers!C22)^(A187/12)*Drivers!C31*(1-Drivers!C32 )*K187</f>
        <v>70021.07172</v>
      </c>
      <c r="R187" s="14">
        <f>IF(A187&gt;(Drivers!C19+Drivers!C20),Drivers!C33/12*(1+Drivers!C23)^(A187/12),0)</f>
        <v>91530.81271</v>
      </c>
      <c r="S187" s="14">
        <f t="shared" si="2"/>
        <v>41238.4144</v>
      </c>
      <c r="T187" s="14">
        <f t="shared" si="6"/>
        <v>454448.0966</v>
      </c>
      <c r="U187" s="14">
        <f>IF(AND(A187&gt;Drivers!C19,A187&lt;=(Drivers!C19+Drivers!C20)),Summary!C31*D187,0)</f>
        <v>0</v>
      </c>
      <c r="V187" s="14">
        <f>IF(A187&lt;=(Drivers!C19+Drivers!C20),(T187+U187/2)*Drivers!C36/12,T187*Drivers!C36/12)</f>
        <v>4355.127592</v>
      </c>
      <c r="W187" s="14">
        <f>IF(A187&gt;(Drivers!C19+Drivers!C20),MIN(T187,MAX(0,Summary!C32/12-V187)),0)</f>
        <v>9970.059531</v>
      </c>
      <c r="X187" s="14">
        <f>IF(A187=(Drivers!C19+1),Summary!C31*Drivers!C38,0)</f>
        <v>0</v>
      </c>
      <c r="Y187" s="14">
        <f t="shared" si="3"/>
        <v>444478.037</v>
      </c>
      <c r="Z187" s="14">
        <f t="shared" si="4"/>
        <v>26913.22728</v>
      </c>
      <c r="AA187" s="14">
        <f t="shared" si="7"/>
        <v>-108568344.4</v>
      </c>
      <c r="AB187" s="14">
        <f t="shared" si="5"/>
        <v>41238.4144</v>
      </c>
      <c r="AC187" s="14">
        <f>(E187+F187+G187+H187)*Drivers!C45</f>
        <v>0</v>
      </c>
      <c r="AD187" s="14">
        <f>IF(A187&lt;=Summary!C18,AB187+IF(A187=Summary!C18,Summary!C40,0),0)</f>
        <v>0</v>
      </c>
      <c r="AE187" s="14">
        <f>IF(A187&lt;=Summary!C18,Z187+IF(A187=Summary!C18,Summary!C40-Y187,0),0)</f>
        <v>0</v>
      </c>
      <c r="AF187" s="14">
        <f>AD187-IF(A187=0,Drivers!C44,0)</f>
        <v>0</v>
      </c>
      <c r="AG187" s="14">
        <f t="shared" si="8"/>
        <v>-107621954.8</v>
      </c>
    </row>
    <row r="188">
      <c r="A188" s="2">
        <v>186.0</v>
      </c>
      <c r="B188" s="15">
        <f>EDATE(Setup!B2,A188)</f>
        <v>51939</v>
      </c>
      <c r="C188" s="2" t="str">
        <f>IF(A188=0,"T0",IF(A188&lt;=Drivers!C19,"Preconstruction",IF(A188&lt;=(Drivers!C19+Drivers!C20),"Construction","Trading")))</f>
        <v>Trading</v>
      </c>
      <c r="D188" s="12">
        <f t="array" ref="D188">IF(AND(A188&gt;Drivers!C19,A188&lt;=(Drivers!C19+Drivers!C20)),SIN(PI()*(A188-Drivers!C19-0.5)/Drivers!C20)/SUMPRODUCT(SIN(PI()*(SEQUENCE(Drivers!C20,1)-0.5)/Drivers!C20)),0)</f>
        <v>0</v>
      </c>
      <c r="E188" s="14">
        <f>(Summary!C10+Summary!C12)*D188*(1+Drivers!C21)^(A188/12)</f>
        <v>0</v>
      </c>
      <c r="F188" s="14">
        <f>IF(AND(A188&gt;0,A188&lt;=Drivers!C19),Summary!C11*Drivers!C40/Drivers!C19*(1+Drivers!C21)^(A188/12),Summary!C11*(1-Drivers!C40 )*D188*(1+Drivers!C21)^(A188/12))</f>
        <v>0</v>
      </c>
      <c r="G188" s="14">
        <f>IF(AND(A188&gt;0,A188&lt;=2),Drivers!C16/2,0)</f>
        <v>0</v>
      </c>
      <c r="H188" s="14">
        <f>IF(A188=(Drivers!C19+Drivers!C20),Drivers!C17*(1+Drivers!C21)^(A188/12),0)</f>
        <v>0</v>
      </c>
      <c r="I188" s="14">
        <f>IF(AND(A188&gt;0,A188&lt;=(Drivers!C19+Drivers!C20)),Drivers!C18*(1+Drivers!C23)^(A188/12),0)</f>
        <v>0</v>
      </c>
      <c r="J188" s="14">
        <f t="shared" si="1"/>
        <v>0</v>
      </c>
      <c r="K188" s="12">
        <f>IF(A188&gt;(Drivers!C19+Drivers!C20),MIN(1,0.5+0.5*(A188-(Drivers!C19+Drivers!C20))/Drivers!C39),0)</f>
        <v>1</v>
      </c>
      <c r="L188" s="14">
        <f>Drivers!C2*(B188-B187)*Drivers!C24*(1+Drivers!C22)^(A188/12)*Drivers!C25*K188</f>
        <v>833085.9401</v>
      </c>
      <c r="M188" s="14">
        <f>L188*Drivers!C26</f>
        <v>166617.188</v>
      </c>
      <c r="N188" s="14">
        <f>(L188+M188)*Drivers!C27</f>
        <v>349896.0949</v>
      </c>
      <c r="O188" s="14">
        <f>IF(A188&gt;(Drivers!C19+Drivers!C20),Drivers!C28/12*(1+Drivers!C23)^(A188/12),0)</f>
        <v>612203.0718</v>
      </c>
      <c r="P188" s="14">
        <f>(L188+M188)*Drivers!C29</f>
        <v>39988.12513</v>
      </c>
      <c r="Q188" s="14">
        <f>Drivers!C3*Drivers!C30*(1+Drivers!C22)^(A188/12)*Drivers!C31*(1-Drivers!C32 )*K188</f>
        <v>70250.30249</v>
      </c>
      <c r="R188" s="14">
        <f>IF(A188&gt;(Drivers!C19+Drivers!C20),Drivers!C33/12*(1+Drivers!C23)^(A188/12),0)</f>
        <v>91830.46077</v>
      </c>
      <c r="S188" s="14">
        <f t="shared" si="2"/>
        <v>-23964.32192</v>
      </c>
      <c r="T188" s="14">
        <f t="shared" si="6"/>
        <v>444478.037</v>
      </c>
      <c r="U188" s="14">
        <f>IF(AND(A188&gt;Drivers!C19,A188&lt;=(Drivers!C19+Drivers!C20)),Summary!C31*D188,0)</f>
        <v>0</v>
      </c>
      <c r="V188" s="14">
        <f>IF(A188&lt;=(Drivers!C19+Drivers!C20),(T188+U188/2)*Drivers!C36/12,T188*Drivers!C36/12)</f>
        <v>4259.581188</v>
      </c>
      <c r="W188" s="14">
        <f>IF(A188&gt;(Drivers!C19+Drivers!C20),MIN(T188,MAX(0,Summary!C32/12-V188)),0)</f>
        <v>10065.60593</v>
      </c>
      <c r="X188" s="14">
        <f>IF(A188=(Drivers!C19+1),Summary!C31*Drivers!C38,0)</f>
        <v>0</v>
      </c>
      <c r="Y188" s="14">
        <f t="shared" si="3"/>
        <v>434412.4311</v>
      </c>
      <c r="Z188" s="14">
        <f t="shared" si="4"/>
        <v>-38289.50905</v>
      </c>
      <c r="AA188" s="14">
        <f t="shared" si="7"/>
        <v>-108606633.9</v>
      </c>
      <c r="AB188" s="14">
        <f t="shared" si="5"/>
        <v>-23964.32192</v>
      </c>
      <c r="AC188" s="14">
        <f>(E188+F188+G188+H188)*Drivers!C45</f>
        <v>0</v>
      </c>
      <c r="AD188" s="14">
        <f>IF(A188&lt;=Summary!C18,AB188+IF(A188=Summary!C18,Summary!C40,0),0)</f>
        <v>0</v>
      </c>
      <c r="AE188" s="14">
        <f>IF(A188&lt;=Summary!C18,Z188+IF(A188=Summary!C18,Summary!C40-Y188,0),0)</f>
        <v>0</v>
      </c>
      <c r="AF188" s="14">
        <f>AD188-IF(A188=0,Drivers!C44,0)</f>
        <v>0</v>
      </c>
      <c r="AG188" s="14">
        <f t="shared" si="8"/>
        <v>-107645919.1</v>
      </c>
    </row>
    <row r="189">
      <c r="A189" s="2">
        <v>187.0</v>
      </c>
      <c r="B189" s="15">
        <f>EDATE(Setup!B2,A189)</f>
        <v>51970</v>
      </c>
      <c r="C189" s="2" t="str">
        <f>IF(A189=0,"T0",IF(A189&lt;=Drivers!C19,"Preconstruction",IF(A189&lt;=(Drivers!C19+Drivers!C20),"Construction","Trading")))</f>
        <v>Trading</v>
      </c>
      <c r="D189" s="12">
        <f t="array" ref="D189">IF(AND(A189&gt;Drivers!C19,A189&lt;=(Drivers!C19+Drivers!C20)),SIN(PI()*(A189-Drivers!C19-0.5)/Drivers!C20)/SUMPRODUCT(SIN(PI()*(SEQUENCE(Drivers!C20,1)-0.5)/Drivers!C20)),0)</f>
        <v>0</v>
      </c>
      <c r="E189" s="14">
        <f>(Summary!C10+Summary!C12)*D189*(1+Drivers!C21)^(A189/12)</f>
        <v>0</v>
      </c>
      <c r="F189" s="14">
        <f>IF(AND(A189&gt;0,A189&lt;=Drivers!C19),Summary!C11*Drivers!C40/Drivers!C19*(1+Drivers!C21)^(A189/12),Summary!C11*(1-Drivers!C40 )*D189*(1+Drivers!C21)^(A189/12))</f>
        <v>0</v>
      </c>
      <c r="G189" s="14">
        <f>IF(AND(A189&gt;0,A189&lt;=2),Drivers!C16/2,0)</f>
        <v>0</v>
      </c>
      <c r="H189" s="14">
        <f>IF(A189=(Drivers!C19+Drivers!C20),Drivers!C17*(1+Drivers!C21)^(A189/12),0)</f>
        <v>0</v>
      </c>
      <c r="I189" s="14">
        <f>IF(AND(A189&gt;0,A189&lt;=(Drivers!C19+Drivers!C20)),Drivers!C18*(1+Drivers!C23)^(A189/12),0)</f>
        <v>0</v>
      </c>
      <c r="J189" s="14">
        <f t="shared" si="1"/>
        <v>0</v>
      </c>
      <c r="K189" s="12">
        <f>IF(A189&gt;(Drivers!C19+Drivers!C20),MIN(1,0.5+0.5*(A189-(Drivers!C19+Drivers!C20))/Drivers!C39),0)</f>
        <v>1</v>
      </c>
      <c r="L189" s="14">
        <f>Drivers!C2*(B189-B188)*Drivers!C24*(1+Drivers!C22)^(A189/12)*Drivers!C25*K189</f>
        <v>925364.666</v>
      </c>
      <c r="M189" s="14">
        <f>L189*Drivers!C26</f>
        <v>185072.9332</v>
      </c>
      <c r="N189" s="14">
        <f>(L189+M189)*Drivers!C27</f>
        <v>388653.1597</v>
      </c>
      <c r="O189" s="14">
        <f>IF(A189&gt;(Drivers!C19+Drivers!C20),Drivers!C28/12*(1+Drivers!C23)^(A189/12),0)</f>
        <v>614207.2654</v>
      </c>
      <c r="P189" s="14">
        <f>(L189+M189)*Drivers!C29</f>
        <v>44417.50397</v>
      </c>
      <c r="Q189" s="14">
        <f>Drivers!C3*Drivers!C30*(1+Drivers!C22)^(A189/12)*Drivers!C31*(1-Drivers!C32 )*K189</f>
        <v>70480.2837</v>
      </c>
      <c r="R189" s="14">
        <f>IF(A189&gt;(Drivers!C19+Drivers!C20),Drivers!C33/12*(1+Drivers!C23)^(A189/12),0)</f>
        <v>92131.08981</v>
      </c>
      <c r="S189" s="14">
        <f t="shared" si="2"/>
        <v>41508.86404</v>
      </c>
      <c r="T189" s="14">
        <f t="shared" si="6"/>
        <v>434412.4311</v>
      </c>
      <c r="U189" s="14">
        <f>IF(AND(A189&gt;Drivers!C19,A189&lt;=(Drivers!C19+Drivers!C20)),Summary!C31*D189,0)</f>
        <v>0</v>
      </c>
      <c r="V189" s="14">
        <f>IF(A189&lt;=(Drivers!C19+Drivers!C20),(T189+U189/2)*Drivers!C36/12,T189*Drivers!C36/12)</f>
        <v>4163.119131</v>
      </c>
      <c r="W189" s="14">
        <f>IF(A189&gt;(Drivers!C19+Drivers!C20),MIN(T189,MAX(0,Summary!C32/12-V189)),0)</f>
        <v>10162.06799</v>
      </c>
      <c r="X189" s="14">
        <f>IF(A189=(Drivers!C19+1),Summary!C31*Drivers!C38,0)</f>
        <v>0</v>
      </c>
      <c r="Y189" s="14">
        <f t="shared" si="3"/>
        <v>424250.3631</v>
      </c>
      <c r="Z189" s="14">
        <f t="shared" si="4"/>
        <v>27183.67692</v>
      </c>
      <c r="AA189" s="14">
        <f t="shared" si="7"/>
        <v>-108579450.2</v>
      </c>
      <c r="AB189" s="14">
        <f t="shared" si="5"/>
        <v>41508.86404</v>
      </c>
      <c r="AC189" s="14">
        <f>(E189+F189+G189+H189)*Drivers!C45</f>
        <v>0</v>
      </c>
      <c r="AD189" s="14">
        <f>IF(A189&lt;=Summary!C18,AB189+IF(A189=Summary!C18,Summary!C40,0),0)</f>
        <v>0</v>
      </c>
      <c r="AE189" s="14">
        <f>IF(A189&lt;=Summary!C18,Z189+IF(A189=Summary!C18,Summary!C40-Y189,0),0)</f>
        <v>0</v>
      </c>
      <c r="AF189" s="14">
        <f>AD189-IF(A189=0,Drivers!C44,0)</f>
        <v>0</v>
      </c>
      <c r="AG189" s="14">
        <f t="shared" si="8"/>
        <v>-107604410.3</v>
      </c>
    </row>
    <row r="190">
      <c r="A190" s="2">
        <v>188.0</v>
      </c>
      <c r="B190" s="15">
        <f>EDATE(Setup!B2,A190)</f>
        <v>52000</v>
      </c>
      <c r="C190" s="2" t="str">
        <f>IF(A190=0,"T0",IF(A190&lt;=Drivers!C19,"Preconstruction",IF(A190&lt;=(Drivers!C19+Drivers!C20),"Construction","Trading")))</f>
        <v>Trading</v>
      </c>
      <c r="D190" s="12">
        <f t="array" ref="D190">IF(AND(A190&gt;Drivers!C19,A190&lt;=(Drivers!C19+Drivers!C20)),SIN(PI()*(A190-Drivers!C19-0.5)/Drivers!C20)/SUMPRODUCT(SIN(PI()*(SEQUENCE(Drivers!C20,1)-0.5)/Drivers!C20)),0)</f>
        <v>0</v>
      </c>
      <c r="E190" s="14">
        <f>(Summary!C10+Summary!C12)*D190*(1+Drivers!C21)^(A190/12)</f>
        <v>0</v>
      </c>
      <c r="F190" s="14">
        <f>IF(AND(A190&gt;0,A190&lt;=Drivers!C19),Summary!C11*Drivers!C40/Drivers!C19*(1+Drivers!C21)^(A190/12),Summary!C11*(1-Drivers!C40 )*D190*(1+Drivers!C21)^(A190/12))</f>
        <v>0</v>
      </c>
      <c r="G190" s="14">
        <f>IF(AND(A190&gt;0,A190&lt;=2),Drivers!C16/2,0)</f>
        <v>0</v>
      </c>
      <c r="H190" s="14">
        <f>IF(A190=(Drivers!C19+Drivers!C20),Drivers!C17*(1+Drivers!C21)^(A190/12),0)</f>
        <v>0</v>
      </c>
      <c r="I190" s="14">
        <f>IF(AND(A190&gt;0,A190&lt;=(Drivers!C19+Drivers!C20)),Drivers!C18*(1+Drivers!C23)^(A190/12),0)</f>
        <v>0</v>
      </c>
      <c r="J190" s="14">
        <f t="shared" si="1"/>
        <v>0</v>
      </c>
      <c r="K190" s="12">
        <f>IF(A190&gt;(Drivers!C19+Drivers!C20),MIN(1,0.5+0.5*(A190-(Drivers!C19+Drivers!C20))/Drivers!C39),0)</f>
        <v>1</v>
      </c>
      <c r="L190" s="14">
        <f>Drivers!C2*(B190-B189)*Drivers!C24*(1+Drivers!C22)^(A190/12)*Drivers!C25*K190</f>
        <v>898445.8734</v>
      </c>
      <c r="M190" s="14">
        <f>L190*Drivers!C26</f>
        <v>179689.1747</v>
      </c>
      <c r="N190" s="14">
        <f>(L190+M190)*Drivers!C27</f>
        <v>377347.2668</v>
      </c>
      <c r="O190" s="14">
        <f>IF(A190&gt;(Drivers!C19+Drivers!C20),Drivers!C28/12*(1+Drivers!C23)^(A190/12),0)</f>
        <v>616218.0201</v>
      </c>
      <c r="P190" s="14">
        <f>(L190+M190)*Drivers!C29</f>
        <v>43125.40192</v>
      </c>
      <c r="Q190" s="14">
        <f>Drivers!C3*Drivers!C30*(1+Drivers!C22)^(A190/12)*Drivers!C31*(1-Drivers!C32 )*K190</f>
        <v>70711.01781</v>
      </c>
      <c r="R190" s="14">
        <f>IF(A190&gt;(Drivers!C19+Drivers!C20),Drivers!C33/12*(1+Drivers!C23)^(A190/12),0)</f>
        <v>92432.70302</v>
      </c>
      <c r="S190" s="14">
        <f t="shared" si="2"/>
        <v>19722.67395</v>
      </c>
      <c r="T190" s="14">
        <f t="shared" si="6"/>
        <v>424250.3631</v>
      </c>
      <c r="U190" s="14">
        <f>IF(AND(A190&gt;Drivers!C19,A190&lt;=(Drivers!C19+Drivers!C20)),Summary!C31*D190,0)</f>
        <v>0</v>
      </c>
      <c r="V190" s="14">
        <f>IF(A190&lt;=(Drivers!C19+Drivers!C20),(T190+U190/2)*Drivers!C36/12,T190*Drivers!C36/12)</f>
        <v>4065.732647</v>
      </c>
      <c r="W190" s="14">
        <f>IF(A190&gt;(Drivers!C19+Drivers!C20),MIN(T190,MAX(0,Summary!C32/12-V190)),0)</f>
        <v>10259.45448</v>
      </c>
      <c r="X190" s="14">
        <f>IF(A190=(Drivers!C19+1),Summary!C31*Drivers!C38,0)</f>
        <v>0</v>
      </c>
      <c r="Y190" s="14">
        <f t="shared" si="3"/>
        <v>413990.9086</v>
      </c>
      <c r="Z190" s="14">
        <f t="shared" si="4"/>
        <v>5397.48683</v>
      </c>
      <c r="AA190" s="14">
        <f t="shared" si="7"/>
        <v>-108574052.8</v>
      </c>
      <c r="AB190" s="14">
        <f t="shared" si="5"/>
        <v>19722.67395</v>
      </c>
      <c r="AC190" s="14">
        <f>(E190+F190+G190+H190)*Drivers!C45</f>
        <v>0</v>
      </c>
      <c r="AD190" s="14">
        <f>IF(A190&lt;=Summary!C18,AB190+IF(A190=Summary!C18,Summary!C40,0),0)</f>
        <v>0</v>
      </c>
      <c r="AE190" s="14">
        <f>IF(A190&lt;=Summary!C18,Z190+IF(A190=Summary!C18,Summary!C40-Y190,0),0)</f>
        <v>0</v>
      </c>
      <c r="AF190" s="14">
        <f>AD190-IF(A190=0,Drivers!C44,0)</f>
        <v>0</v>
      </c>
      <c r="AG190" s="14">
        <f t="shared" si="8"/>
        <v>-107584687.6</v>
      </c>
    </row>
    <row r="191">
      <c r="A191" s="2">
        <v>189.0</v>
      </c>
      <c r="B191" s="15">
        <f>EDATE(Setup!B2,A191)</f>
        <v>52031</v>
      </c>
      <c r="C191" s="2" t="str">
        <f>IF(A191=0,"T0",IF(A191&lt;=Drivers!C19,"Preconstruction",IF(A191&lt;=(Drivers!C19+Drivers!C20),"Construction","Trading")))</f>
        <v>Trading</v>
      </c>
      <c r="D191" s="12">
        <f t="array" ref="D191">IF(AND(A191&gt;Drivers!C19,A191&lt;=(Drivers!C19+Drivers!C20)),SIN(PI()*(A191-Drivers!C19-0.5)/Drivers!C20)/SUMPRODUCT(SIN(PI()*(SEQUENCE(Drivers!C20,1)-0.5)/Drivers!C20)),0)</f>
        <v>0</v>
      </c>
      <c r="E191" s="14">
        <f>(Summary!C10+Summary!C12)*D191*(1+Drivers!C21)^(A191/12)</f>
        <v>0</v>
      </c>
      <c r="F191" s="14">
        <f>IF(AND(A191&gt;0,A191&lt;=Drivers!C19),Summary!C11*Drivers!C40/Drivers!C19*(1+Drivers!C21)^(A191/12),Summary!C11*(1-Drivers!C40 )*D191*(1+Drivers!C21)^(A191/12))</f>
        <v>0</v>
      </c>
      <c r="G191" s="14">
        <f>IF(AND(A191&gt;0,A191&lt;=2),Drivers!C16/2,0)</f>
        <v>0</v>
      </c>
      <c r="H191" s="14">
        <f>IF(A191=(Drivers!C19+Drivers!C20),Drivers!C17*(1+Drivers!C21)^(A191/12),0)</f>
        <v>0</v>
      </c>
      <c r="I191" s="14">
        <f>IF(AND(A191&gt;0,A191&lt;=(Drivers!C19+Drivers!C20)),Drivers!C18*(1+Drivers!C23)^(A191/12),0)</f>
        <v>0</v>
      </c>
      <c r="J191" s="14">
        <f t="shared" si="1"/>
        <v>0</v>
      </c>
      <c r="K191" s="12">
        <f>IF(A191&gt;(Drivers!C19+Drivers!C20),MIN(1,0.5+0.5*(A191-(Drivers!C19+Drivers!C20))/Drivers!C39),0)</f>
        <v>1</v>
      </c>
      <c r="L191" s="14">
        <f>Drivers!C2*(B191-B190)*Drivers!C24*(1+Drivers!C22)^(A191/12)*Drivers!C25*K191</f>
        <v>931433.3897</v>
      </c>
      <c r="M191" s="14">
        <f>L191*Drivers!C26</f>
        <v>186286.6779</v>
      </c>
      <c r="N191" s="14">
        <f>(L191+M191)*Drivers!C27</f>
        <v>391202.0237</v>
      </c>
      <c r="O191" s="14">
        <f>IF(A191&gt;(Drivers!C19+Drivers!C20),Drivers!C28/12*(1+Drivers!C23)^(A191/12),0)</f>
        <v>618235.3576</v>
      </c>
      <c r="P191" s="14">
        <f>(L191+M191)*Drivers!C29</f>
        <v>44708.80271</v>
      </c>
      <c r="Q191" s="14">
        <f>Drivers!C3*Drivers!C30*(1+Drivers!C22)^(A191/12)*Drivers!C31*(1-Drivers!C32 )*K191</f>
        <v>70942.50728</v>
      </c>
      <c r="R191" s="14">
        <f>IF(A191&gt;(Drivers!C19+Drivers!C20),Drivers!C33/12*(1+Drivers!C23)^(A191/12),0)</f>
        <v>92735.30364</v>
      </c>
      <c r="S191" s="14">
        <f t="shared" si="2"/>
        <v>41781.08735</v>
      </c>
      <c r="T191" s="14">
        <f t="shared" si="6"/>
        <v>413990.9086</v>
      </c>
      <c r="U191" s="14">
        <f>IF(AND(A191&gt;Drivers!C19,A191&lt;=(Drivers!C19+Drivers!C20)),Summary!C31*D191,0)</f>
        <v>0</v>
      </c>
      <c r="V191" s="14">
        <f>IF(A191&lt;=(Drivers!C19+Drivers!C20),(T191+U191/2)*Drivers!C36/12,T191*Drivers!C36/12)</f>
        <v>3967.412874</v>
      </c>
      <c r="W191" s="14">
        <f>IF(A191&gt;(Drivers!C19+Drivers!C20),MIN(T191,MAX(0,Summary!C32/12-V191)),0)</f>
        <v>10357.77425</v>
      </c>
      <c r="X191" s="14">
        <f>IF(A191=(Drivers!C19+1),Summary!C31*Drivers!C38,0)</f>
        <v>0</v>
      </c>
      <c r="Y191" s="14">
        <f t="shared" si="3"/>
        <v>403633.1344</v>
      </c>
      <c r="Z191" s="14">
        <f t="shared" si="4"/>
        <v>27455.90023</v>
      </c>
      <c r="AA191" s="14">
        <f t="shared" si="7"/>
        <v>-108546596.9</v>
      </c>
      <c r="AB191" s="14">
        <f t="shared" si="5"/>
        <v>41781.08735</v>
      </c>
      <c r="AC191" s="14">
        <f>(E191+F191+G191+H191)*Drivers!C45</f>
        <v>0</v>
      </c>
      <c r="AD191" s="14">
        <f>IF(A191&lt;=Summary!C18,AB191+IF(A191=Summary!C18,Summary!C40,0),0)</f>
        <v>0</v>
      </c>
      <c r="AE191" s="14">
        <f>IF(A191&lt;=Summary!C18,Z191+IF(A191=Summary!C18,Summary!C40-Y191,0),0)</f>
        <v>0</v>
      </c>
      <c r="AF191" s="14">
        <f>AD191-IF(A191=0,Drivers!C44,0)</f>
        <v>0</v>
      </c>
      <c r="AG191" s="14">
        <f t="shared" si="8"/>
        <v>-107542906.5</v>
      </c>
    </row>
    <row r="192">
      <c r="A192" s="2">
        <v>190.0</v>
      </c>
      <c r="B192" s="15">
        <f>EDATE(Setup!B2,A192)</f>
        <v>52061</v>
      </c>
      <c r="C192" s="2" t="str">
        <f>IF(A192=0,"T0",IF(A192&lt;=Drivers!C19,"Preconstruction",IF(A192&lt;=(Drivers!C19+Drivers!C20),"Construction","Trading")))</f>
        <v>Trading</v>
      </c>
      <c r="D192" s="12">
        <f t="array" ref="D192">IF(AND(A192&gt;Drivers!C19,A192&lt;=(Drivers!C19+Drivers!C20)),SIN(PI()*(A192-Drivers!C19-0.5)/Drivers!C20)/SUMPRODUCT(SIN(PI()*(SEQUENCE(Drivers!C20,1)-0.5)/Drivers!C20)),0)</f>
        <v>0</v>
      </c>
      <c r="E192" s="14">
        <f>(Summary!C10+Summary!C12)*D192*(1+Drivers!C21)^(A192/12)</f>
        <v>0</v>
      </c>
      <c r="F192" s="14">
        <f>IF(AND(A192&gt;0,A192&lt;=Drivers!C19),Summary!C11*Drivers!C40/Drivers!C19*(1+Drivers!C21)^(A192/12),Summary!C11*(1-Drivers!C40 )*D192*(1+Drivers!C21)^(A192/12))</f>
        <v>0</v>
      </c>
      <c r="G192" s="14">
        <f>IF(AND(A192&gt;0,A192&lt;=2),Drivers!C16/2,0)</f>
        <v>0</v>
      </c>
      <c r="H192" s="14">
        <f>IF(A192=(Drivers!C19+Drivers!C20),Drivers!C17*(1+Drivers!C21)^(A192/12),0)</f>
        <v>0</v>
      </c>
      <c r="I192" s="14">
        <f>IF(AND(A192&gt;0,A192&lt;=(Drivers!C19+Drivers!C20)),Drivers!C18*(1+Drivers!C23)^(A192/12),0)</f>
        <v>0</v>
      </c>
      <c r="J192" s="14">
        <f t="shared" si="1"/>
        <v>0</v>
      </c>
      <c r="K192" s="12">
        <f>IF(A192&gt;(Drivers!C19+Drivers!C20),MIN(1,0.5+0.5*(A192-(Drivers!C19+Drivers!C20))/Drivers!C39),0)</f>
        <v>1</v>
      </c>
      <c r="L192" s="14">
        <f>Drivers!C2*(B192-B191)*Drivers!C24*(1+Drivers!C22)^(A192/12)*Drivers!C25*K192</f>
        <v>904338.0583</v>
      </c>
      <c r="M192" s="14">
        <f>L192*Drivers!C26</f>
        <v>180867.6117</v>
      </c>
      <c r="N192" s="14">
        <f>(L192+M192)*Drivers!C27</f>
        <v>379821.9845</v>
      </c>
      <c r="O192" s="14">
        <f>IF(A192&gt;(Drivers!C19+Drivers!C20),Drivers!C28/12*(1+Drivers!C23)^(A192/12),0)</f>
        <v>620259.2993</v>
      </c>
      <c r="P192" s="14">
        <f>(L192+M192)*Drivers!C29</f>
        <v>43408.2268</v>
      </c>
      <c r="Q192" s="14">
        <f>Drivers!C3*Drivers!C30*(1+Drivers!C22)^(A192/12)*Drivers!C31*(1-Drivers!C32 )*K192</f>
        <v>71174.75459</v>
      </c>
      <c r="R192" s="14">
        <f>IF(A192&gt;(Drivers!C19+Drivers!C20),Drivers!C33/12*(1+Drivers!C23)^(A192/12),0)</f>
        <v>93038.89489</v>
      </c>
      <c r="S192" s="14">
        <f t="shared" si="2"/>
        <v>19852.01913</v>
      </c>
      <c r="T192" s="14">
        <f t="shared" si="6"/>
        <v>403633.1344</v>
      </c>
      <c r="U192" s="14">
        <f>IF(AND(A192&gt;Drivers!C19,A192&lt;=(Drivers!C19+Drivers!C20)),Summary!C31*D192,0)</f>
        <v>0</v>
      </c>
      <c r="V192" s="14">
        <f>IF(A192&lt;=(Drivers!C19+Drivers!C20),(T192+U192/2)*Drivers!C36/12,T192*Drivers!C36/12)</f>
        <v>3868.150871</v>
      </c>
      <c r="W192" s="14">
        <f>IF(A192&gt;(Drivers!C19+Drivers!C20),MIN(T192,MAX(0,Summary!C32/12-V192)),0)</f>
        <v>10457.03625</v>
      </c>
      <c r="X192" s="14">
        <f>IF(A192=(Drivers!C19+1),Summary!C31*Drivers!C38,0)</f>
        <v>0</v>
      </c>
      <c r="Y192" s="14">
        <f t="shared" si="3"/>
        <v>393176.0981</v>
      </c>
      <c r="Z192" s="14">
        <f t="shared" si="4"/>
        <v>5526.83201</v>
      </c>
      <c r="AA192" s="14">
        <f t="shared" si="7"/>
        <v>-108541070</v>
      </c>
      <c r="AB192" s="14">
        <f t="shared" si="5"/>
        <v>19852.01913</v>
      </c>
      <c r="AC192" s="14">
        <f>(E192+F192+G192+H192)*Drivers!C45</f>
        <v>0</v>
      </c>
      <c r="AD192" s="14">
        <f>IF(A192&lt;=Summary!C18,AB192+IF(A192=Summary!C18,Summary!C40,0),0)</f>
        <v>0</v>
      </c>
      <c r="AE192" s="14">
        <f>IF(A192&lt;=Summary!C18,Z192+IF(A192=Summary!C18,Summary!C40-Y192,0),0)</f>
        <v>0</v>
      </c>
      <c r="AF192" s="14">
        <f>AD192-IF(A192=0,Drivers!C44,0)</f>
        <v>0</v>
      </c>
      <c r="AG192" s="14">
        <f t="shared" si="8"/>
        <v>-107523054.5</v>
      </c>
    </row>
    <row r="193">
      <c r="A193" s="2">
        <v>191.0</v>
      </c>
      <c r="B193" s="15">
        <f>EDATE(Setup!B2,A193)</f>
        <v>52092</v>
      </c>
      <c r="C193" s="2" t="str">
        <f>IF(A193=0,"T0",IF(A193&lt;=Drivers!C19,"Preconstruction",IF(A193&lt;=(Drivers!C19+Drivers!C20),"Construction","Trading")))</f>
        <v>Trading</v>
      </c>
      <c r="D193" s="12">
        <f t="array" ref="D193">IF(AND(A193&gt;Drivers!C19,A193&lt;=(Drivers!C19+Drivers!C20)),SIN(PI()*(A193-Drivers!C19-0.5)/Drivers!C20)/SUMPRODUCT(SIN(PI()*(SEQUENCE(Drivers!C20,1)-0.5)/Drivers!C20)),0)</f>
        <v>0</v>
      </c>
      <c r="E193" s="14">
        <f>(Summary!C10+Summary!C12)*D193*(1+Drivers!C21)^(A193/12)</f>
        <v>0</v>
      </c>
      <c r="F193" s="14">
        <f>IF(AND(A193&gt;0,A193&lt;=Drivers!C19),Summary!C11*Drivers!C40/Drivers!C19*(1+Drivers!C21)^(A193/12),Summary!C11*(1-Drivers!C40 )*D193*(1+Drivers!C21)^(A193/12))</f>
        <v>0</v>
      </c>
      <c r="G193" s="14">
        <f>IF(AND(A193&gt;0,A193&lt;=2),Drivers!C16/2,0)</f>
        <v>0</v>
      </c>
      <c r="H193" s="14">
        <f>IF(A193=(Drivers!C19+Drivers!C20),Drivers!C17*(1+Drivers!C21)^(A193/12),0)</f>
        <v>0</v>
      </c>
      <c r="I193" s="14">
        <f>IF(AND(A193&gt;0,A193&lt;=(Drivers!C19+Drivers!C20)),Drivers!C18*(1+Drivers!C23)^(A193/12),0)</f>
        <v>0</v>
      </c>
      <c r="J193" s="14">
        <f t="shared" si="1"/>
        <v>0</v>
      </c>
      <c r="K193" s="12">
        <f>IF(A193&gt;(Drivers!C19+Drivers!C20),MIN(1,0.5+0.5*(A193-(Drivers!C19+Drivers!C20))/Drivers!C39),0)</f>
        <v>1</v>
      </c>
      <c r="L193" s="14">
        <f>Drivers!C2*(B193-B192)*Drivers!C24*(1+Drivers!C22)^(A193/12)*Drivers!C25*K193</f>
        <v>937541.9133</v>
      </c>
      <c r="M193" s="14">
        <f>L193*Drivers!C26</f>
        <v>187508.3827</v>
      </c>
      <c r="N193" s="14">
        <f>(L193+M193)*Drivers!C27</f>
        <v>393767.6036</v>
      </c>
      <c r="O193" s="14">
        <f>IF(A193&gt;(Drivers!C19+Drivers!C20),Drivers!C28/12*(1+Drivers!C23)^(A193/12),0)</f>
        <v>622289.8668</v>
      </c>
      <c r="P193" s="14">
        <f>(L193+M193)*Drivers!C29</f>
        <v>45002.01184</v>
      </c>
      <c r="Q193" s="14">
        <f>Drivers!C3*Drivers!C30*(1+Drivers!C22)^(A193/12)*Drivers!C31*(1-Drivers!C32 )*K193</f>
        <v>71407.76222</v>
      </c>
      <c r="R193" s="14">
        <f>IF(A193&gt;(Drivers!C19+Drivers!C20),Drivers!C33/12*(1+Drivers!C23)^(A193/12),0)</f>
        <v>93343.48002</v>
      </c>
      <c r="S193" s="14">
        <f t="shared" si="2"/>
        <v>42055.09595</v>
      </c>
      <c r="T193" s="14">
        <f t="shared" si="6"/>
        <v>393176.0981</v>
      </c>
      <c r="U193" s="14">
        <f>IF(AND(A193&gt;Drivers!C19,A193&lt;=(Drivers!C19+Drivers!C20)),Summary!C31*D193,0)</f>
        <v>0</v>
      </c>
      <c r="V193" s="14">
        <f>IF(A193&lt;=(Drivers!C19+Drivers!C20),(T193+U193/2)*Drivers!C36/12,T193*Drivers!C36/12)</f>
        <v>3767.937607</v>
      </c>
      <c r="W193" s="14">
        <f>IF(A193&gt;(Drivers!C19+Drivers!C20),MIN(T193,MAX(0,Summary!C32/12-V193)),0)</f>
        <v>10557.24952</v>
      </c>
      <c r="X193" s="14">
        <f>IF(A193=(Drivers!C19+1),Summary!C31*Drivers!C38,0)</f>
        <v>0</v>
      </c>
      <c r="Y193" s="14">
        <f t="shared" si="3"/>
        <v>382618.8486</v>
      </c>
      <c r="Z193" s="14">
        <f t="shared" si="4"/>
        <v>27729.90882</v>
      </c>
      <c r="AA193" s="14">
        <f t="shared" si="7"/>
        <v>-108513340.1</v>
      </c>
      <c r="AB193" s="14">
        <f t="shared" si="5"/>
        <v>42055.09595</v>
      </c>
      <c r="AC193" s="14">
        <f>(E193+F193+G193+H193)*Drivers!C45</f>
        <v>0</v>
      </c>
      <c r="AD193" s="14">
        <f>IF(A193&lt;=Summary!C18,AB193+IF(A193=Summary!C18,Summary!C40,0),0)</f>
        <v>0</v>
      </c>
      <c r="AE193" s="14">
        <f>IF(A193&lt;=Summary!C18,Z193+IF(A193=Summary!C18,Summary!C40-Y193,0),0)</f>
        <v>0</v>
      </c>
      <c r="AF193" s="14">
        <f>AD193-IF(A193=0,Drivers!C44,0)</f>
        <v>0</v>
      </c>
      <c r="AG193" s="14">
        <f t="shared" si="8"/>
        <v>-107480999.4</v>
      </c>
    </row>
    <row r="194">
      <c r="A194" s="2">
        <v>192.0</v>
      </c>
      <c r="B194" s="15">
        <f>EDATE(Setup!B2,A194)</f>
        <v>52123</v>
      </c>
      <c r="C194" s="2" t="str">
        <f>IF(A194=0,"T0",IF(A194&lt;=Drivers!C19,"Preconstruction",IF(A194&lt;=(Drivers!C19+Drivers!C20),"Construction","Trading")))</f>
        <v>Trading</v>
      </c>
      <c r="D194" s="12">
        <f t="array" ref="D194">IF(AND(A194&gt;Drivers!C19,A194&lt;=(Drivers!C19+Drivers!C20)),SIN(PI()*(A194-Drivers!C19-0.5)/Drivers!C20)/SUMPRODUCT(SIN(PI()*(SEQUENCE(Drivers!C20,1)-0.5)/Drivers!C20)),0)</f>
        <v>0</v>
      </c>
      <c r="E194" s="14">
        <f>(Summary!C10+Summary!C12)*D194*(1+Drivers!C21)^(A194/12)</f>
        <v>0</v>
      </c>
      <c r="F194" s="14">
        <f>IF(AND(A194&gt;0,A194&lt;=Drivers!C19),Summary!C11*Drivers!C40/Drivers!C19*(1+Drivers!C21)^(A194/12),Summary!C11*(1-Drivers!C40 )*D194*(1+Drivers!C21)^(A194/12))</f>
        <v>0</v>
      </c>
      <c r="G194" s="14">
        <f>IF(AND(A194&gt;0,A194&lt;=2),Drivers!C16/2,0)</f>
        <v>0</v>
      </c>
      <c r="H194" s="14">
        <f>IF(A194=(Drivers!C19+Drivers!C20),Drivers!C17*(1+Drivers!C21)^(A194/12),0)</f>
        <v>0</v>
      </c>
      <c r="I194" s="14">
        <f>IF(AND(A194&gt;0,A194&lt;=(Drivers!C19+Drivers!C20)),Drivers!C18*(1+Drivers!C23)^(A194/12),0)</f>
        <v>0</v>
      </c>
      <c r="J194" s="14">
        <f t="shared" si="1"/>
        <v>0</v>
      </c>
      <c r="K194" s="12">
        <f>IF(A194&gt;(Drivers!C19+Drivers!C20),MIN(1,0.5+0.5*(A194-(Drivers!C19+Drivers!C20))/Drivers!C39),0)</f>
        <v>1</v>
      </c>
      <c r="L194" s="14">
        <f>Drivers!C2*(B194-B193)*Drivers!C24*(1+Drivers!C22)^(A194/12)*Drivers!C25*K194</f>
        <v>940611.1816</v>
      </c>
      <c r="M194" s="14">
        <f>L194*Drivers!C26</f>
        <v>188122.2363</v>
      </c>
      <c r="N194" s="14">
        <f>(L194+M194)*Drivers!C27</f>
        <v>395056.6963</v>
      </c>
      <c r="O194" s="14">
        <f>IF(A194&gt;(Drivers!C19+Drivers!C20),Drivers!C28/12*(1+Drivers!C23)^(A194/12),0)</f>
        <v>624327.0819</v>
      </c>
      <c r="P194" s="14">
        <f>(L194+M194)*Drivers!C29</f>
        <v>45149.33672</v>
      </c>
      <c r="Q194" s="14">
        <f>Drivers!C3*Drivers!C30*(1+Drivers!C22)^(A194/12)*Drivers!C31*(1-Drivers!C32 )*K194</f>
        <v>71641.53265</v>
      </c>
      <c r="R194" s="14">
        <f>IF(A194&gt;(Drivers!C19+Drivers!C20),Drivers!C33/12*(1+Drivers!C23)^(A194/12),0)</f>
        <v>93649.06229</v>
      </c>
      <c r="S194" s="14">
        <f t="shared" si="2"/>
        <v>42192.77339</v>
      </c>
      <c r="T194" s="14">
        <f t="shared" si="6"/>
        <v>382618.8486</v>
      </c>
      <c r="U194" s="14">
        <f>IF(AND(A194&gt;Drivers!C19,A194&lt;=(Drivers!C19+Drivers!C20)),Summary!C31*D194,0)</f>
        <v>0</v>
      </c>
      <c r="V194" s="14">
        <f>IF(A194&lt;=(Drivers!C19+Drivers!C20),(T194+U194/2)*Drivers!C36/12,T194*Drivers!C36/12)</f>
        <v>3666.763966</v>
      </c>
      <c r="W194" s="14">
        <f>IF(A194&gt;(Drivers!C19+Drivers!C20),MIN(T194,MAX(0,Summary!C32/12-V194)),0)</f>
        <v>10658.42316</v>
      </c>
      <c r="X194" s="14">
        <f>IF(A194=(Drivers!C19+1),Summary!C31*Drivers!C38,0)</f>
        <v>0</v>
      </c>
      <c r="Y194" s="14">
        <f t="shared" si="3"/>
        <v>371960.4255</v>
      </c>
      <c r="Z194" s="14">
        <f t="shared" si="4"/>
        <v>27867.58627</v>
      </c>
      <c r="AA194" s="14">
        <f t="shared" si="7"/>
        <v>-108485472.5</v>
      </c>
      <c r="AB194" s="14">
        <f t="shared" si="5"/>
        <v>42192.77339</v>
      </c>
      <c r="AC194" s="14">
        <f>(E194+F194+G194+H194)*Drivers!C45</f>
        <v>0</v>
      </c>
      <c r="AD194" s="14">
        <f>IF(A194&lt;=Summary!C18,AB194+IF(A194=Summary!C18,Summary!C40,0),0)</f>
        <v>0</v>
      </c>
      <c r="AE194" s="14">
        <f>IF(A194&lt;=Summary!C18,Z194+IF(A194=Summary!C18,Summary!C40-Y194,0),0)</f>
        <v>0</v>
      </c>
      <c r="AF194" s="14">
        <f>AD194-IF(A194=0,Drivers!C44,0)</f>
        <v>0</v>
      </c>
      <c r="AG194" s="14">
        <f t="shared" si="8"/>
        <v>-107438806.6</v>
      </c>
    </row>
    <row r="195">
      <c r="A195" s="2">
        <v>193.0</v>
      </c>
      <c r="B195" s="15">
        <f>EDATE(Setup!B2,A195)</f>
        <v>52153</v>
      </c>
      <c r="C195" s="2" t="str">
        <f>IF(A195=0,"T0",IF(A195&lt;=Drivers!C19,"Preconstruction",IF(A195&lt;=(Drivers!C19+Drivers!C20),"Construction","Trading")))</f>
        <v>Trading</v>
      </c>
      <c r="D195" s="12">
        <f t="array" ref="D195">IF(AND(A195&gt;Drivers!C19,A195&lt;=(Drivers!C19+Drivers!C20)),SIN(PI()*(A195-Drivers!C19-0.5)/Drivers!C20)/SUMPRODUCT(SIN(PI()*(SEQUENCE(Drivers!C20,1)-0.5)/Drivers!C20)),0)</f>
        <v>0</v>
      </c>
      <c r="E195" s="14">
        <f>(Summary!C10+Summary!C12)*D195*(1+Drivers!C21)^(A195/12)</f>
        <v>0</v>
      </c>
      <c r="F195" s="14">
        <f>IF(AND(A195&gt;0,A195&lt;=Drivers!C19),Summary!C11*Drivers!C40/Drivers!C19*(1+Drivers!C21)^(A195/12),Summary!C11*(1-Drivers!C40 )*D195*(1+Drivers!C21)^(A195/12))</f>
        <v>0</v>
      </c>
      <c r="G195" s="14">
        <f>IF(AND(A195&gt;0,A195&lt;=2),Drivers!C16/2,0)</f>
        <v>0</v>
      </c>
      <c r="H195" s="14">
        <f>IF(A195=(Drivers!C19+Drivers!C20),Drivers!C17*(1+Drivers!C21)^(A195/12),0)</f>
        <v>0</v>
      </c>
      <c r="I195" s="14">
        <f>IF(AND(A195&gt;0,A195&lt;=(Drivers!C19+Drivers!C20)),Drivers!C18*(1+Drivers!C23)^(A195/12),0)</f>
        <v>0</v>
      </c>
      <c r="J195" s="14">
        <f t="shared" si="1"/>
        <v>0</v>
      </c>
      <c r="K195" s="12">
        <f>IF(A195&gt;(Drivers!C19+Drivers!C20),MIN(1,0.5+0.5*(A195-(Drivers!C19+Drivers!C20))/Drivers!C39),0)</f>
        <v>1</v>
      </c>
      <c r="L195" s="14">
        <f>Drivers!C2*(B195-B194)*Drivers!C24*(1+Drivers!C22)^(A195/12)*Drivers!C25*K195</f>
        <v>913248.8689</v>
      </c>
      <c r="M195" s="14">
        <f>L195*Drivers!C26</f>
        <v>182649.7738</v>
      </c>
      <c r="N195" s="14">
        <f>(L195+M195)*Drivers!C27</f>
        <v>383564.5249</v>
      </c>
      <c r="O195" s="14">
        <f>IF(A195&gt;(Drivers!C19+Drivers!C20),Drivers!C28/12*(1+Drivers!C23)^(A195/12),0)</f>
        <v>626370.9663</v>
      </c>
      <c r="P195" s="14">
        <f>(L195+M195)*Drivers!C29</f>
        <v>43835.94571</v>
      </c>
      <c r="Q195" s="14">
        <f>Drivers!C3*Drivers!C30*(1+Drivers!C22)^(A195/12)*Drivers!C31*(1-Drivers!C32 )*K195</f>
        <v>71876.06838</v>
      </c>
      <c r="R195" s="14">
        <f>IF(A195&gt;(Drivers!C19+Drivers!C20),Drivers!C33/12*(1+Drivers!C23)^(A195/12),0)</f>
        <v>93955.64495</v>
      </c>
      <c r="S195" s="14">
        <f t="shared" si="2"/>
        <v>20047.62915</v>
      </c>
      <c r="T195" s="14">
        <f t="shared" si="6"/>
        <v>371960.4255</v>
      </c>
      <c r="U195" s="14">
        <f>IF(AND(A195&gt;Drivers!C19,A195&lt;=(Drivers!C19+Drivers!C20)),Summary!C31*D195,0)</f>
        <v>0</v>
      </c>
      <c r="V195" s="14">
        <f>IF(A195&lt;=(Drivers!C19+Drivers!C20),(T195+U195/2)*Drivers!C36/12,T195*Drivers!C36/12)</f>
        <v>3564.620744</v>
      </c>
      <c r="W195" s="14">
        <f>IF(A195&gt;(Drivers!C19+Drivers!C20),MIN(T195,MAX(0,Summary!C32/12-V195)),0)</f>
        <v>10760.56638</v>
      </c>
      <c r="X195" s="14">
        <f>IF(A195=(Drivers!C19+1),Summary!C31*Drivers!C38,0)</f>
        <v>0</v>
      </c>
      <c r="Y195" s="14">
        <f t="shared" si="3"/>
        <v>361199.8591</v>
      </c>
      <c r="Z195" s="14">
        <f t="shared" si="4"/>
        <v>5722.442025</v>
      </c>
      <c r="AA195" s="14">
        <f t="shared" si="7"/>
        <v>-108479750.1</v>
      </c>
      <c r="AB195" s="14">
        <f t="shared" si="5"/>
        <v>20047.62915</v>
      </c>
      <c r="AC195" s="14">
        <f>(E195+F195+G195+H195)*Drivers!C45</f>
        <v>0</v>
      </c>
      <c r="AD195" s="14">
        <f>IF(A195&lt;=Summary!C18,AB195+IF(A195=Summary!C18,Summary!C40,0),0)</f>
        <v>0</v>
      </c>
      <c r="AE195" s="14">
        <f>IF(A195&lt;=Summary!C18,Z195+IF(A195=Summary!C18,Summary!C40-Y195,0),0)</f>
        <v>0</v>
      </c>
      <c r="AF195" s="14">
        <f>AD195-IF(A195=0,Drivers!C44,0)</f>
        <v>0</v>
      </c>
      <c r="AG195" s="14">
        <f t="shared" si="8"/>
        <v>-107418759</v>
      </c>
    </row>
    <row r="196">
      <c r="A196" s="2">
        <v>194.0</v>
      </c>
      <c r="B196" s="15">
        <f>EDATE(Setup!B2,A196)</f>
        <v>52184</v>
      </c>
      <c r="C196" s="2" t="str">
        <f>IF(A196=0,"T0",IF(A196&lt;=Drivers!C19,"Preconstruction",IF(A196&lt;=(Drivers!C19+Drivers!C20),"Construction","Trading")))</f>
        <v>Trading</v>
      </c>
      <c r="D196" s="12">
        <f t="array" ref="D196">IF(AND(A196&gt;Drivers!C19,A196&lt;=(Drivers!C19+Drivers!C20)),SIN(PI()*(A196-Drivers!C19-0.5)/Drivers!C20)/SUMPRODUCT(SIN(PI()*(SEQUENCE(Drivers!C20,1)-0.5)/Drivers!C20)),0)</f>
        <v>0</v>
      </c>
      <c r="E196" s="14">
        <f>(Summary!C10+Summary!C12)*D196*(1+Drivers!C21)^(A196/12)</f>
        <v>0</v>
      </c>
      <c r="F196" s="14">
        <f>IF(AND(A196&gt;0,A196&lt;=Drivers!C19),Summary!C11*Drivers!C40/Drivers!C19*(1+Drivers!C21)^(A196/12),Summary!C11*(1-Drivers!C40 )*D196*(1+Drivers!C21)^(A196/12))</f>
        <v>0</v>
      </c>
      <c r="G196" s="14">
        <f>IF(AND(A196&gt;0,A196&lt;=2),Drivers!C16/2,0)</f>
        <v>0</v>
      </c>
      <c r="H196" s="14">
        <f>IF(A196=(Drivers!C19+Drivers!C20),Drivers!C17*(1+Drivers!C21)^(A196/12),0)</f>
        <v>0</v>
      </c>
      <c r="I196" s="14">
        <f>IF(AND(A196&gt;0,A196&lt;=(Drivers!C19+Drivers!C20)),Drivers!C18*(1+Drivers!C23)^(A196/12),0)</f>
        <v>0</v>
      </c>
      <c r="J196" s="14">
        <f t="shared" si="1"/>
        <v>0</v>
      </c>
      <c r="K196" s="12">
        <f>IF(A196&gt;(Drivers!C19+Drivers!C20),MIN(1,0.5+0.5*(A196-(Drivers!C19+Drivers!C20))/Drivers!C39),0)</f>
        <v>1</v>
      </c>
      <c r="L196" s="14">
        <f>Drivers!C2*(B196-B195)*Drivers!C24*(1+Drivers!C22)^(A196/12)*Drivers!C25*K196</f>
        <v>946779.895</v>
      </c>
      <c r="M196" s="14">
        <f>L196*Drivers!C26</f>
        <v>189355.979</v>
      </c>
      <c r="N196" s="14">
        <f>(L196+M196)*Drivers!C27</f>
        <v>397647.5559</v>
      </c>
      <c r="O196" s="14">
        <f>IF(A196&gt;(Drivers!C19+Drivers!C20),Drivers!C28/12*(1+Drivers!C23)^(A196/12),0)</f>
        <v>628421.5419</v>
      </c>
      <c r="P196" s="14">
        <f>(L196+M196)*Drivers!C29</f>
        <v>45445.43496</v>
      </c>
      <c r="Q196" s="14">
        <f>Drivers!C3*Drivers!C30*(1+Drivers!C22)^(A196/12)*Drivers!C31*(1-Drivers!C32 )*K196</f>
        <v>72111.37193</v>
      </c>
      <c r="R196" s="14">
        <f>IF(A196&gt;(Drivers!C19+Drivers!C20),Drivers!C33/12*(1+Drivers!C23)^(A196/12),0)</f>
        <v>94263.23128</v>
      </c>
      <c r="S196" s="14">
        <f t="shared" si="2"/>
        <v>42469.48191</v>
      </c>
      <c r="T196" s="14">
        <f t="shared" si="6"/>
        <v>361199.8591</v>
      </c>
      <c r="U196" s="14">
        <f>IF(AND(A196&gt;Drivers!C19,A196&lt;=(Drivers!C19+Drivers!C20)),Summary!C31*D196,0)</f>
        <v>0</v>
      </c>
      <c r="V196" s="14">
        <f>IF(A196&lt;=(Drivers!C19+Drivers!C20),(T196+U196/2)*Drivers!C36/12,T196*Drivers!C36/12)</f>
        <v>3461.49865</v>
      </c>
      <c r="W196" s="14">
        <f>IF(A196&gt;(Drivers!C19+Drivers!C20),MIN(T196,MAX(0,Summary!C32/12-V196)),0)</f>
        <v>10863.68847</v>
      </c>
      <c r="X196" s="14">
        <f>IF(A196=(Drivers!C19+1),Summary!C31*Drivers!C38,0)</f>
        <v>0</v>
      </c>
      <c r="Y196" s="14">
        <f t="shared" si="3"/>
        <v>350336.1706</v>
      </c>
      <c r="Z196" s="14">
        <f t="shared" si="4"/>
        <v>28144.29478</v>
      </c>
      <c r="AA196" s="14">
        <f t="shared" si="7"/>
        <v>-108451605.8</v>
      </c>
      <c r="AB196" s="14">
        <f t="shared" si="5"/>
        <v>42469.48191</v>
      </c>
      <c r="AC196" s="14">
        <f>(E196+F196+G196+H196)*Drivers!C45</f>
        <v>0</v>
      </c>
      <c r="AD196" s="14">
        <f>IF(A196&lt;=Summary!C18,AB196+IF(A196=Summary!C18,Summary!C40,0),0)</f>
        <v>0</v>
      </c>
      <c r="AE196" s="14">
        <f>IF(A196&lt;=Summary!C18,Z196+IF(A196=Summary!C18,Summary!C40-Y196,0),0)</f>
        <v>0</v>
      </c>
      <c r="AF196" s="14">
        <f>AD196-IF(A196=0,Drivers!C44,0)</f>
        <v>0</v>
      </c>
      <c r="AG196" s="14">
        <f t="shared" si="8"/>
        <v>-107376289.5</v>
      </c>
    </row>
    <row r="197">
      <c r="A197" s="2">
        <v>195.0</v>
      </c>
      <c r="B197" s="15">
        <f>EDATE(Setup!B2,A197)</f>
        <v>52214</v>
      </c>
      <c r="C197" s="2" t="str">
        <f>IF(A197=0,"T0",IF(A197&lt;=Drivers!C19,"Preconstruction",IF(A197&lt;=(Drivers!C19+Drivers!C20),"Construction","Trading")))</f>
        <v>Trading</v>
      </c>
      <c r="D197" s="12">
        <f t="array" ref="D197">IF(AND(A197&gt;Drivers!C19,A197&lt;=(Drivers!C19+Drivers!C20)),SIN(PI()*(A197-Drivers!C19-0.5)/Drivers!C20)/SUMPRODUCT(SIN(PI()*(SEQUENCE(Drivers!C20,1)-0.5)/Drivers!C20)),0)</f>
        <v>0</v>
      </c>
      <c r="E197" s="14">
        <f>(Summary!C10+Summary!C12)*D197*(1+Drivers!C21)^(A197/12)</f>
        <v>0</v>
      </c>
      <c r="F197" s="14">
        <f>IF(AND(A197&gt;0,A197&lt;=Drivers!C19),Summary!C11*Drivers!C40/Drivers!C19*(1+Drivers!C21)^(A197/12),Summary!C11*(1-Drivers!C40 )*D197*(1+Drivers!C21)^(A197/12))</f>
        <v>0</v>
      </c>
      <c r="G197" s="14">
        <f>IF(AND(A197&gt;0,A197&lt;=2),Drivers!C16/2,0)</f>
        <v>0</v>
      </c>
      <c r="H197" s="14">
        <f>IF(A197=(Drivers!C19+Drivers!C20),Drivers!C17*(1+Drivers!C21)^(A197/12),0)</f>
        <v>0</v>
      </c>
      <c r="I197" s="14">
        <f>IF(AND(A197&gt;0,A197&lt;=(Drivers!C19+Drivers!C20)),Drivers!C18*(1+Drivers!C23)^(A197/12),0)</f>
        <v>0</v>
      </c>
      <c r="J197" s="14">
        <f t="shared" si="1"/>
        <v>0</v>
      </c>
      <c r="K197" s="12">
        <f>IF(A197&gt;(Drivers!C19+Drivers!C20),MIN(1,0.5+0.5*(A197-(Drivers!C19+Drivers!C20))/Drivers!C39),0)</f>
        <v>1</v>
      </c>
      <c r="L197" s="14">
        <f>Drivers!C2*(B197-B196)*Drivers!C24*(1+Drivers!C22)^(A197/12)*Drivers!C25*K197</f>
        <v>919238.1348</v>
      </c>
      <c r="M197" s="14">
        <f>L197*Drivers!C26</f>
        <v>183847.627</v>
      </c>
      <c r="N197" s="14">
        <f>(L197+M197)*Drivers!C27</f>
        <v>386080.0166</v>
      </c>
      <c r="O197" s="14">
        <f>IF(A197&gt;(Drivers!C19+Drivers!C20),Drivers!C28/12*(1+Drivers!C23)^(A197/12),0)</f>
        <v>630478.8305</v>
      </c>
      <c r="P197" s="14">
        <f>(L197+M197)*Drivers!C29</f>
        <v>44123.43047</v>
      </c>
      <c r="Q197" s="14">
        <f>Drivers!C3*Drivers!C30*(1+Drivers!C22)^(A197/12)*Drivers!C31*(1-Drivers!C32 )*K197</f>
        <v>72347.4458</v>
      </c>
      <c r="R197" s="14">
        <f>IF(A197&gt;(Drivers!C19+Drivers!C20),Drivers!C33/12*(1+Drivers!C23)^(A197/12),0)</f>
        <v>94571.82457</v>
      </c>
      <c r="S197" s="14">
        <f t="shared" si="2"/>
        <v>20179.10545</v>
      </c>
      <c r="T197" s="14">
        <f t="shared" si="6"/>
        <v>350336.1706</v>
      </c>
      <c r="U197" s="14">
        <f>IF(AND(A197&gt;Drivers!C19,A197&lt;=(Drivers!C19+Drivers!C20)),Summary!C31*D197,0)</f>
        <v>0</v>
      </c>
      <c r="V197" s="14">
        <f>IF(A197&lt;=(Drivers!C19+Drivers!C20),(T197+U197/2)*Drivers!C36/12,T197*Drivers!C36/12)</f>
        <v>3357.388302</v>
      </c>
      <c r="W197" s="14">
        <f>IF(A197&gt;(Drivers!C19+Drivers!C20),MIN(T197,MAX(0,Summary!C32/12-V197)),0)</f>
        <v>10967.79882</v>
      </c>
      <c r="X197" s="14">
        <f>IF(A197=(Drivers!C19+1),Summary!C31*Drivers!C38,0)</f>
        <v>0</v>
      </c>
      <c r="Y197" s="14">
        <f t="shared" si="3"/>
        <v>339368.3718</v>
      </c>
      <c r="Z197" s="14">
        <f t="shared" si="4"/>
        <v>5853.918325</v>
      </c>
      <c r="AA197" s="14">
        <f t="shared" si="7"/>
        <v>-108445751.9</v>
      </c>
      <c r="AB197" s="14">
        <f t="shared" si="5"/>
        <v>20179.10545</v>
      </c>
      <c r="AC197" s="14">
        <f>(E197+F197+G197+H197)*Drivers!C45</f>
        <v>0</v>
      </c>
      <c r="AD197" s="14">
        <f>IF(A197&lt;=Summary!C18,AB197+IF(A197=Summary!C18,Summary!C40,0),0)</f>
        <v>0</v>
      </c>
      <c r="AE197" s="14">
        <f>IF(A197&lt;=Summary!C18,Z197+IF(A197=Summary!C18,Summary!C40-Y197,0),0)</f>
        <v>0</v>
      </c>
      <c r="AF197" s="14">
        <f>AD197-IF(A197=0,Drivers!C44,0)</f>
        <v>0</v>
      </c>
      <c r="AG197" s="14">
        <f t="shared" si="8"/>
        <v>-107356110.4</v>
      </c>
    </row>
    <row r="198">
      <c r="A198" s="2">
        <v>196.0</v>
      </c>
      <c r="B198" s="15">
        <f>EDATE(Setup!B2,A198)</f>
        <v>52245</v>
      </c>
      <c r="C198" s="2" t="str">
        <f>IF(A198=0,"T0",IF(A198&lt;=Drivers!C19,"Preconstruction",IF(A198&lt;=(Drivers!C19+Drivers!C20),"Construction","Trading")))</f>
        <v>Trading</v>
      </c>
      <c r="D198" s="12">
        <f t="array" ref="D198">IF(AND(A198&gt;Drivers!C19,A198&lt;=(Drivers!C19+Drivers!C20)),SIN(PI()*(A198-Drivers!C19-0.5)/Drivers!C20)/SUMPRODUCT(SIN(PI()*(SEQUENCE(Drivers!C20,1)-0.5)/Drivers!C20)),0)</f>
        <v>0</v>
      </c>
      <c r="E198" s="14">
        <f>(Summary!C10+Summary!C12)*D198*(1+Drivers!C21)^(A198/12)</f>
        <v>0</v>
      </c>
      <c r="F198" s="14">
        <f>IF(AND(A198&gt;0,A198&lt;=Drivers!C19),Summary!C11*Drivers!C40/Drivers!C19*(1+Drivers!C21)^(A198/12),Summary!C11*(1-Drivers!C40 )*D198*(1+Drivers!C21)^(A198/12))</f>
        <v>0</v>
      </c>
      <c r="G198" s="14">
        <f>IF(AND(A198&gt;0,A198&lt;=2),Drivers!C16/2,0)</f>
        <v>0</v>
      </c>
      <c r="H198" s="14">
        <f>IF(A198=(Drivers!C19+Drivers!C20),Drivers!C17*(1+Drivers!C21)^(A198/12),0)</f>
        <v>0</v>
      </c>
      <c r="I198" s="14">
        <f>IF(AND(A198&gt;0,A198&lt;=(Drivers!C19+Drivers!C20)),Drivers!C18*(1+Drivers!C23)^(A198/12),0)</f>
        <v>0</v>
      </c>
      <c r="J198" s="14">
        <f t="shared" si="1"/>
        <v>0</v>
      </c>
      <c r="K198" s="12">
        <f>IF(A198&gt;(Drivers!C19+Drivers!C20),MIN(1,0.5+0.5*(A198-(Drivers!C19+Drivers!C20))/Drivers!C39),0)</f>
        <v>1</v>
      </c>
      <c r="L198" s="14">
        <f>Drivers!C2*(B198-B197)*Drivers!C24*(1+Drivers!C22)^(A198/12)*Drivers!C25*K198</f>
        <v>952989.064</v>
      </c>
      <c r="M198" s="14">
        <f>L198*Drivers!C26</f>
        <v>190597.8128</v>
      </c>
      <c r="N198" s="14">
        <f>(L198+M198)*Drivers!C27</f>
        <v>400255.4069</v>
      </c>
      <c r="O198" s="14">
        <f>IF(A198&gt;(Drivers!C19+Drivers!C20),Drivers!C28/12*(1+Drivers!C23)^(A198/12),0)</f>
        <v>632542.8541</v>
      </c>
      <c r="P198" s="14">
        <f>(L198+M198)*Drivers!C29</f>
        <v>45743.47507</v>
      </c>
      <c r="Q198" s="14">
        <f>Drivers!C3*Drivers!C30*(1+Drivers!C22)^(A198/12)*Drivers!C31*(1-Drivers!C32 )*K198</f>
        <v>72584.29251</v>
      </c>
      <c r="R198" s="14">
        <f>IF(A198&gt;(Drivers!C19+Drivers!C20),Drivers!C33/12*(1+Drivers!C23)^(A198/12),0)</f>
        <v>94881.42811</v>
      </c>
      <c r="S198" s="14">
        <f t="shared" si="2"/>
        <v>42748.00513</v>
      </c>
      <c r="T198" s="14">
        <f t="shared" si="6"/>
        <v>339368.3718</v>
      </c>
      <c r="U198" s="14">
        <f>IF(AND(A198&gt;Drivers!C19,A198&lt;=(Drivers!C19+Drivers!C20)),Summary!C31*D198,0)</f>
        <v>0</v>
      </c>
      <c r="V198" s="14">
        <f>IF(A198&lt;=(Drivers!C19+Drivers!C20),(T198+U198/2)*Drivers!C36/12,T198*Drivers!C36/12)</f>
        <v>3252.28023</v>
      </c>
      <c r="W198" s="14">
        <f>IF(A198&gt;(Drivers!C19+Drivers!C20),MIN(T198,MAX(0,Summary!C32/12-V198)),0)</f>
        <v>11072.90689</v>
      </c>
      <c r="X198" s="14">
        <f>IF(A198=(Drivers!C19+1),Summary!C31*Drivers!C38,0)</f>
        <v>0</v>
      </c>
      <c r="Y198" s="14">
        <f t="shared" si="3"/>
        <v>328295.4649</v>
      </c>
      <c r="Z198" s="14">
        <f t="shared" si="4"/>
        <v>28422.81801</v>
      </c>
      <c r="AA198" s="14">
        <f t="shared" si="7"/>
        <v>-108417329.1</v>
      </c>
      <c r="AB198" s="14">
        <f t="shared" si="5"/>
        <v>42748.00513</v>
      </c>
      <c r="AC198" s="14">
        <f>(E198+F198+G198+H198)*Drivers!C45</f>
        <v>0</v>
      </c>
      <c r="AD198" s="14">
        <f>IF(A198&lt;=Summary!C18,AB198+IF(A198=Summary!C18,Summary!C40,0),0)</f>
        <v>0</v>
      </c>
      <c r="AE198" s="14">
        <f>IF(A198&lt;=Summary!C18,Z198+IF(A198=Summary!C18,Summary!C40-Y198,0),0)</f>
        <v>0</v>
      </c>
      <c r="AF198" s="14">
        <f>AD198-IF(A198=0,Drivers!C44,0)</f>
        <v>0</v>
      </c>
      <c r="AG198" s="14">
        <f t="shared" si="8"/>
        <v>-107313362.4</v>
      </c>
    </row>
    <row r="199">
      <c r="A199" s="2">
        <v>197.0</v>
      </c>
      <c r="B199" s="15">
        <f>EDATE(Setup!B2,A199)</f>
        <v>52276</v>
      </c>
      <c r="C199" s="2" t="str">
        <f>IF(A199=0,"T0",IF(A199&lt;=Drivers!C19,"Preconstruction",IF(A199&lt;=(Drivers!C19+Drivers!C20),"Construction","Trading")))</f>
        <v>Trading</v>
      </c>
      <c r="D199" s="12">
        <f t="array" ref="D199">IF(AND(A199&gt;Drivers!C19,A199&lt;=(Drivers!C19+Drivers!C20)),SIN(PI()*(A199-Drivers!C19-0.5)/Drivers!C20)/SUMPRODUCT(SIN(PI()*(SEQUENCE(Drivers!C20,1)-0.5)/Drivers!C20)),0)</f>
        <v>0</v>
      </c>
      <c r="E199" s="14">
        <f>(Summary!C10+Summary!C12)*D199*(1+Drivers!C21)^(A199/12)</f>
        <v>0</v>
      </c>
      <c r="F199" s="14">
        <f>IF(AND(A199&gt;0,A199&lt;=Drivers!C19),Summary!C11*Drivers!C40/Drivers!C19*(1+Drivers!C21)^(A199/12),Summary!C11*(1-Drivers!C40 )*D199*(1+Drivers!C21)^(A199/12))</f>
        <v>0</v>
      </c>
      <c r="G199" s="14">
        <f>IF(AND(A199&gt;0,A199&lt;=2),Drivers!C16/2,0)</f>
        <v>0</v>
      </c>
      <c r="H199" s="14">
        <f>IF(A199=(Drivers!C19+Drivers!C20),Drivers!C17*(1+Drivers!C21)^(A199/12),0)</f>
        <v>0</v>
      </c>
      <c r="I199" s="14">
        <f>IF(AND(A199&gt;0,A199&lt;=(Drivers!C19+Drivers!C20)),Drivers!C18*(1+Drivers!C23)^(A199/12),0)</f>
        <v>0</v>
      </c>
      <c r="J199" s="14">
        <f t="shared" si="1"/>
        <v>0</v>
      </c>
      <c r="K199" s="12">
        <f>IF(A199&gt;(Drivers!C19+Drivers!C20),MIN(1,0.5+0.5*(A199-(Drivers!C19+Drivers!C20))/Drivers!C39),0)</f>
        <v>1</v>
      </c>
      <c r="L199" s="14">
        <f>Drivers!C2*(B199-B198)*Drivers!C24*(1+Drivers!C22)^(A199/12)*Drivers!C25*K199</f>
        <v>956108.9022</v>
      </c>
      <c r="M199" s="14">
        <f>L199*Drivers!C26</f>
        <v>191221.7804</v>
      </c>
      <c r="N199" s="14">
        <f>(L199+M199)*Drivers!C27</f>
        <v>401565.7389</v>
      </c>
      <c r="O199" s="14">
        <f>IF(A199&gt;(Drivers!C19+Drivers!C20),Drivers!C28/12*(1+Drivers!C23)^(A199/12),0)</f>
        <v>634613.6348</v>
      </c>
      <c r="P199" s="14">
        <f>(L199+M199)*Drivers!C29</f>
        <v>45893.22731</v>
      </c>
      <c r="Q199" s="14">
        <f>Drivers!C3*Drivers!C30*(1+Drivers!C22)^(A199/12)*Drivers!C31*(1-Drivers!C32 )*K199</f>
        <v>72821.91459</v>
      </c>
      <c r="R199" s="14">
        <f>IF(A199&gt;(Drivers!C19+Drivers!C20),Drivers!C33/12*(1+Drivers!C23)^(A199/12),0)</f>
        <v>95192.04522</v>
      </c>
      <c r="S199" s="14">
        <f t="shared" si="2"/>
        <v>42887.95098</v>
      </c>
      <c r="T199" s="14">
        <f t="shared" si="6"/>
        <v>328295.4649</v>
      </c>
      <c r="U199" s="14">
        <f>IF(AND(A199&gt;Drivers!C19,A199&lt;=(Drivers!C19+Drivers!C20)),Summary!C31*D199,0)</f>
        <v>0</v>
      </c>
      <c r="V199" s="14">
        <f>IF(A199&lt;=(Drivers!C19+Drivers!C20),(T199+U199/2)*Drivers!C36/12,T199*Drivers!C36/12)</f>
        <v>3146.164872</v>
      </c>
      <c r="W199" s="14">
        <f>IF(A199&gt;(Drivers!C19+Drivers!C20),MIN(T199,MAX(0,Summary!C32/12-V199)),0)</f>
        <v>11179.02225</v>
      </c>
      <c r="X199" s="14">
        <f>IF(A199=(Drivers!C19+1),Summary!C31*Drivers!C38,0)</f>
        <v>0</v>
      </c>
      <c r="Y199" s="14">
        <f t="shared" si="3"/>
        <v>317116.4427</v>
      </c>
      <c r="Z199" s="14">
        <f t="shared" si="4"/>
        <v>28562.76385</v>
      </c>
      <c r="AA199" s="14">
        <f t="shared" si="7"/>
        <v>-108388766.3</v>
      </c>
      <c r="AB199" s="14">
        <f t="shared" si="5"/>
        <v>42887.95098</v>
      </c>
      <c r="AC199" s="14">
        <f>(E199+F199+G199+H199)*Drivers!C45</f>
        <v>0</v>
      </c>
      <c r="AD199" s="14">
        <f>IF(A199&lt;=Summary!C18,AB199+IF(A199=Summary!C18,Summary!C40,0),0)</f>
        <v>0</v>
      </c>
      <c r="AE199" s="14">
        <f>IF(A199&lt;=Summary!C18,Z199+IF(A199=Summary!C18,Summary!C40-Y199,0),0)</f>
        <v>0</v>
      </c>
      <c r="AF199" s="14">
        <f>AD199-IF(A199=0,Drivers!C44,0)</f>
        <v>0</v>
      </c>
      <c r="AG199" s="14">
        <f t="shared" si="8"/>
        <v>-107270474.5</v>
      </c>
    </row>
    <row r="200">
      <c r="A200" s="2">
        <v>198.0</v>
      </c>
      <c r="B200" s="15">
        <f>EDATE(Setup!B2,A200)</f>
        <v>52304</v>
      </c>
      <c r="C200" s="2" t="str">
        <f>IF(A200=0,"T0",IF(A200&lt;=Drivers!C19,"Preconstruction",IF(A200&lt;=(Drivers!C19+Drivers!C20),"Construction","Trading")))</f>
        <v>Trading</v>
      </c>
      <c r="D200" s="12">
        <f t="array" ref="D200">IF(AND(A200&gt;Drivers!C19,A200&lt;=(Drivers!C19+Drivers!C20)),SIN(PI()*(A200-Drivers!C19-0.5)/Drivers!C20)/SUMPRODUCT(SIN(PI()*(SEQUENCE(Drivers!C20,1)-0.5)/Drivers!C20)),0)</f>
        <v>0</v>
      </c>
      <c r="E200" s="14">
        <f>(Summary!C10+Summary!C12)*D200*(1+Drivers!C21)^(A200/12)</f>
        <v>0</v>
      </c>
      <c r="F200" s="14">
        <f>IF(AND(A200&gt;0,A200&lt;=Drivers!C19),Summary!C11*Drivers!C40/Drivers!C19*(1+Drivers!C21)^(A200/12),Summary!C11*(1-Drivers!C40 )*D200*(1+Drivers!C21)^(A200/12))</f>
        <v>0</v>
      </c>
      <c r="G200" s="14">
        <f>IF(AND(A200&gt;0,A200&lt;=2),Drivers!C16/2,0)</f>
        <v>0</v>
      </c>
      <c r="H200" s="14">
        <f>IF(A200=(Drivers!C19+Drivers!C20),Drivers!C17*(1+Drivers!C21)^(A200/12),0)</f>
        <v>0</v>
      </c>
      <c r="I200" s="14">
        <f>IF(AND(A200&gt;0,A200&lt;=(Drivers!C19+Drivers!C20)),Drivers!C18*(1+Drivers!C23)^(A200/12),0)</f>
        <v>0</v>
      </c>
      <c r="J200" s="14">
        <f t="shared" si="1"/>
        <v>0</v>
      </c>
      <c r="K200" s="12">
        <f>IF(A200&gt;(Drivers!C19+Drivers!C20),MIN(1,0.5+0.5*(A200-(Drivers!C19+Drivers!C20))/Drivers!C39),0)</f>
        <v>1</v>
      </c>
      <c r="L200" s="14">
        <f>Drivers!C2*(B200-B199)*Drivers!C24*(1+Drivers!C22)^(A200/12)*Drivers!C25*K200</f>
        <v>866409.3778</v>
      </c>
      <c r="M200" s="14">
        <f>L200*Drivers!C26</f>
        <v>173281.8756</v>
      </c>
      <c r="N200" s="14">
        <f>(L200+M200)*Drivers!C27</f>
        <v>363891.9387</v>
      </c>
      <c r="O200" s="14">
        <f>IF(A200&gt;(Drivers!C19+Drivers!C20),Drivers!C28/12*(1+Drivers!C23)^(A200/12),0)</f>
        <v>636691.1947</v>
      </c>
      <c r="P200" s="14">
        <f>(L200+M200)*Drivers!C29</f>
        <v>41587.65013</v>
      </c>
      <c r="Q200" s="14">
        <f>Drivers!C3*Drivers!C30*(1+Drivers!C22)^(A200/12)*Drivers!C31*(1-Drivers!C32 )*K200</f>
        <v>73060.31459</v>
      </c>
      <c r="R200" s="14">
        <f>IF(A200&gt;(Drivers!C19+Drivers!C20),Drivers!C33/12*(1+Drivers!C23)^(A200/12),0)</f>
        <v>95503.67921</v>
      </c>
      <c r="S200" s="14">
        <f t="shared" si="2"/>
        <v>-24922.8948</v>
      </c>
      <c r="T200" s="14">
        <f t="shared" si="6"/>
        <v>317116.4427</v>
      </c>
      <c r="U200" s="14">
        <f>IF(AND(A200&gt;Drivers!C19,A200&lt;=(Drivers!C19+Drivers!C20)),Summary!C31*D200,0)</f>
        <v>0</v>
      </c>
      <c r="V200" s="14">
        <f>IF(A200&lt;=(Drivers!C19+Drivers!C20),(T200+U200/2)*Drivers!C36/12,T200*Drivers!C36/12)</f>
        <v>3039.032575</v>
      </c>
      <c r="W200" s="14">
        <f>IF(A200&gt;(Drivers!C19+Drivers!C20),MIN(T200,MAX(0,Summary!C32/12-V200)),0)</f>
        <v>11286.15455</v>
      </c>
      <c r="X200" s="14">
        <f>IF(A200=(Drivers!C19+1),Summary!C31*Drivers!C38,0)</f>
        <v>0</v>
      </c>
      <c r="Y200" s="14">
        <f t="shared" si="3"/>
        <v>305830.2881</v>
      </c>
      <c r="Z200" s="14">
        <f t="shared" si="4"/>
        <v>-39248.08192</v>
      </c>
      <c r="AA200" s="14">
        <f t="shared" si="7"/>
        <v>-108428014.4</v>
      </c>
      <c r="AB200" s="14">
        <f t="shared" si="5"/>
        <v>-24922.8948</v>
      </c>
      <c r="AC200" s="14">
        <f>(E200+F200+G200+H200)*Drivers!C45</f>
        <v>0</v>
      </c>
      <c r="AD200" s="14">
        <f>IF(A200&lt;=Summary!C18,AB200+IF(A200=Summary!C18,Summary!C40,0),0)</f>
        <v>0</v>
      </c>
      <c r="AE200" s="14">
        <f>IF(A200&lt;=Summary!C18,Z200+IF(A200=Summary!C18,Summary!C40-Y200,0),0)</f>
        <v>0</v>
      </c>
      <c r="AF200" s="14">
        <f>AD200-IF(A200=0,Drivers!C44,0)</f>
        <v>0</v>
      </c>
      <c r="AG200" s="14">
        <f t="shared" si="8"/>
        <v>-107295397.3</v>
      </c>
    </row>
    <row r="201">
      <c r="A201" s="2">
        <v>199.0</v>
      </c>
      <c r="B201" s="15">
        <f>EDATE(Setup!B2,A201)</f>
        <v>52335</v>
      </c>
      <c r="C201" s="2" t="str">
        <f>IF(A201=0,"T0",IF(A201&lt;=Drivers!C19,"Preconstruction",IF(A201&lt;=(Drivers!C19+Drivers!C20),"Construction","Trading")))</f>
        <v>Trading</v>
      </c>
      <c r="D201" s="12">
        <f t="array" ref="D201">IF(AND(A201&gt;Drivers!C19,A201&lt;=(Drivers!C19+Drivers!C20)),SIN(PI()*(A201-Drivers!C19-0.5)/Drivers!C20)/SUMPRODUCT(SIN(PI()*(SEQUENCE(Drivers!C20,1)-0.5)/Drivers!C20)),0)</f>
        <v>0</v>
      </c>
      <c r="E201" s="14">
        <f>(Summary!C10+Summary!C12)*D201*(1+Drivers!C21)^(A201/12)</f>
        <v>0</v>
      </c>
      <c r="F201" s="14">
        <f>IF(AND(A201&gt;0,A201&lt;=Drivers!C19),Summary!C11*Drivers!C40/Drivers!C19*(1+Drivers!C21)^(A201/12),Summary!C11*(1-Drivers!C40 )*D201*(1+Drivers!C21)^(A201/12))</f>
        <v>0</v>
      </c>
      <c r="G201" s="14">
        <f>IF(AND(A201&gt;0,A201&lt;=2),Drivers!C16/2,0)</f>
        <v>0</v>
      </c>
      <c r="H201" s="14">
        <f>IF(A201=(Drivers!C19+Drivers!C20),Drivers!C17*(1+Drivers!C21)^(A201/12),0)</f>
        <v>0</v>
      </c>
      <c r="I201" s="14">
        <f>IF(AND(A201&gt;0,A201&lt;=(Drivers!C19+Drivers!C20)),Drivers!C18*(1+Drivers!C23)^(A201/12),0)</f>
        <v>0</v>
      </c>
      <c r="J201" s="14">
        <f t="shared" si="1"/>
        <v>0</v>
      </c>
      <c r="K201" s="12">
        <f>IF(A201&gt;(Drivers!C19+Drivers!C20),MIN(1,0.5+0.5*(A201-(Drivers!C19+Drivers!C20))/Drivers!C39),0)</f>
        <v>1</v>
      </c>
      <c r="L201" s="14">
        <f>Drivers!C2*(B201-B200)*Drivers!C24*(1+Drivers!C22)^(A201/12)*Drivers!C25*K201</f>
        <v>962379.2527</v>
      </c>
      <c r="M201" s="14">
        <f>L201*Drivers!C26</f>
        <v>192475.8505</v>
      </c>
      <c r="N201" s="14">
        <f>(L201+M201)*Drivers!C27</f>
        <v>404199.2861</v>
      </c>
      <c r="O201" s="14">
        <f>IF(A201&gt;(Drivers!C19+Drivers!C20),Drivers!C28/12*(1+Drivers!C23)^(A201/12),0)</f>
        <v>638775.556</v>
      </c>
      <c r="P201" s="14">
        <f>(L201+M201)*Drivers!C29</f>
        <v>46194.20413</v>
      </c>
      <c r="Q201" s="14">
        <f>Drivers!C3*Drivers!C30*(1+Drivers!C22)^(A201/12)*Drivers!C31*(1-Drivers!C32 )*K201</f>
        <v>73299.49505</v>
      </c>
      <c r="R201" s="14">
        <f>IF(A201&gt;(Drivers!C19+Drivers!C20),Drivers!C33/12*(1+Drivers!C23)^(A201/12),0)</f>
        <v>95816.3334</v>
      </c>
      <c r="S201" s="14">
        <f t="shared" si="2"/>
        <v>43169.2186</v>
      </c>
      <c r="T201" s="14">
        <f t="shared" si="6"/>
        <v>305830.2881</v>
      </c>
      <c r="U201" s="14">
        <f>IF(AND(A201&gt;Drivers!C19,A201&lt;=(Drivers!C19+Drivers!C20)),Summary!C31*D201,0)</f>
        <v>0</v>
      </c>
      <c r="V201" s="14">
        <f>IF(A201&lt;=(Drivers!C19+Drivers!C20),(T201+U201/2)*Drivers!C36/12,T201*Drivers!C36/12)</f>
        <v>2930.873594</v>
      </c>
      <c r="W201" s="14">
        <f>IF(A201&gt;(Drivers!C19+Drivers!C20),MIN(T201,MAX(0,Summary!C32/12-V201)),0)</f>
        <v>11394.31353</v>
      </c>
      <c r="X201" s="14">
        <f>IF(A201=(Drivers!C19+1),Summary!C31*Drivers!C38,0)</f>
        <v>0</v>
      </c>
      <c r="Y201" s="14">
        <f t="shared" si="3"/>
        <v>294435.9746</v>
      </c>
      <c r="Z201" s="14">
        <f t="shared" si="4"/>
        <v>28844.03148</v>
      </c>
      <c r="AA201" s="14">
        <f t="shared" si="7"/>
        <v>-108399170.3</v>
      </c>
      <c r="AB201" s="14">
        <f t="shared" si="5"/>
        <v>43169.2186</v>
      </c>
      <c r="AC201" s="14">
        <f>(E201+F201+G201+H201)*Drivers!C45</f>
        <v>0</v>
      </c>
      <c r="AD201" s="14">
        <f>IF(A201&lt;=Summary!C18,AB201+IF(A201=Summary!C18,Summary!C40,0),0)</f>
        <v>0</v>
      </c>
      <c r="AE201" s="14">
        <f>IF(A201&lt;=Summary!C18,Z201+IF(A201=Summary!C18,Summary!C40-Y201,0),0)</f>
        <v>0</v>
      </c>
      <c r="AF201" s="14">
        <f>AD201-IF(A201=0,Drivers!C44,0)</f>
        <v>0</v>
      </c>
      <c r="AG201" s="14">
        <f t="shared" si="8"/>
        <v>-107252228.1</v>
      </c>
    </row>
    <row r="202">
      <c r="A202" s="2">
        <v>200.0</v>
      </c>
      <c r="B202" s="15">
        <f>EDATE(Setup!B2,A202)</f>
        <v>52365</v>
      </c>
      <c r="C202" s="2" t="str">
        <f>IF(A202=0,"T0",IF(A202&lt;=Drivers!C19,"Preconstruction",IF(A202&lt;=(Drivers!C19+Drivers!C20),"Construction","Trading")))</f>
        <v>Trading</v>
      </c>
      <c r="D202" s="12">
        <f t="array" ref="D202">IF(AND(A202&gt;Drivers!C19,A202&lt;=(Drivers!C19+Drivers!C20)),SIN(PI()*(A202-Drivers!C19-0.5)/Drivers!C20)/SUMPRODUCT(SIN(PI()*(SEQUENCE(Drivers!C20,1)-0.5)/Drivers!C20)),0)</f>
        <v>0</v>
      </c>
      <c r="E202" s="14">
        <f>(Summary!C10+Summary!C12)*D202*(1+Drivers!C21)^(A202/12)</f>
        <v>0</v>
      </c>
      <c r="F202" s="14">
        <f>IF(AND(A202&gt;0,A202&lt;=Drivers!C19),Summary!C11*Drivers!C40/Drivers!C19*(1+Drivers!C21)^(A202/12),Summary!C11*(1-Drivers!C40 )*D202*(1+Drivers!C21)^(A202/12))</f>
        <v>0</v>
      </c>
      <c r="G202" s="14">
        <f>IF(AND(A202&gt;0,A202&lt;=2),Drivers!C16/2,0)</f>
        <v>0</v>
      </c>
      <c r="H202" s="14">
        <f>IF(A202=(Drivers!C19+Drivers!C20),Drivers!C17*(1+Drivers!C21)^(A202/12),0)</f>
        <v>0</v>
      </c>
      <c r="I202" s="14">
        <f>IF(AND(A202&gt;0,A202&lt;=(Drivers!C19+Drivers!C20)),Drivers!C18*(1+Drivers!C23)^(A202/12),0)</f>
        <v>0</v>
      </c>
      <c r="J202" s="14">
        <f t="shared" si="1"/>
        <v>0</v>
      </c>
      <c r="K202" s="12">
        <f>IF(A202&gt;(Drivers!C19+Drivers!C20),MIN(1,0.5+0.5*(A202-(Drivers!C19+Drivers!C20))/Drivers!C39),0)</f>
        <v>1</v>
      </c>
      <c r="L202" s="14">
        <f>Drivers!C2*(B202-B201)*Drivers!C24*(1+Drivers!C22)^(A202/12)*Drivers!C25*K202</f>
        <v>934383.7083</v>
      </c>
      <c r="M202" s="14">
        <f>L202*Drivers!C26</f>
        <v>186876.7417</v>
      </c>
      <c r="N202" s="14">
        <f>(L202+M202)*Drivers!C27</f>
        <v>392441.1575</v>
      </c>
      <c r="O202" s="14">
        <f>IF(A202&gt;(Drivers!C19+Drivers!C20),Drivers!C28/12*(1+Drivers!C23)^(A202/12),0)</f>
        <v>640866.7409</v>
      </c>
      <c r="P202" s="14">
        <f>(L202+M202)*Drivers!C29</f>
        <v>44850.418</v>
      </c>
      <c r="Q202" s="14">
        <f>Drivers!C3*Drivers!C30*(1+Drivers!C22)^(A202/12)*Drivers!C31*(1-Drivers!C32 )*K202</f>
        <v>73539.45852</v>
      </c>
      <c r="R202" s="14">
        <f>IF(A202&gt;(Drivers!C19+Drivers!C20),Drivers!C33/12*(1+Drivers!C23)^(A202/12),0)</f>
        <v>96130.01114</v>
      </c>
      <c r="S202" s="14">
        <f t="shared" si="2"/>
        <v>20511.58091</v>
      </c>
      <c r="T202" s="14">
        <f t="shared" si="6"/>
        <v>294435.9746</v>
      </c>
      <c r="U202" s="14">
        <f>IF(AND(A202&gt;Drivers!C19,A202&lt;=(Drivers!C19+Drivers!C20)),Summary!C31*D202,0)</f>
        <v>0</v>
      </c>
      <c r="V202" s="14">
        <f>IF(A202&lt;=(Drivers!C19+Drivers!C20),(T202+U202/2)*Drivers!C36/12,T202*Drivers!C36/12)</f>
        <v>2821.67809</v>
      </c>
      <c r="W202" s="14">
        <f>IF(A202&gt;(Drivers!C19+Drivers!C20),MIN(T202,MAX(0,Summary!C32/12-V202)),0)</f>
        <v>11503.50903</v>
      </c>
      <c r="X202" s="14">
        <f>IF(A202=(Drivers!C19+1),Summary!C31*Drivers!C38,0)</f>
        <v>0</v>
      </c>
      <c r="Y202" s="14">
        <f t="shared" si="3"/>
        <v>282932.4655</v>
      </c>
      <c r="Z202" s="14">
        <f t="shared" si="4"/>
        <v>6186.393788</v>
      </c>
      <c r="AA202" s="14">
        <f t="shared" si="7"/>
        <v>-108392984</v>
      </c>
      <c r="AB202" s="14">
        <f t="shared" si="5"/>
        <v>20511.58091</v>
      </c>
      <c r="AC202" s="14">
        <f>(E202+F202+G202+H202)*Drivers!C45</f>
        <v>0</v>
      </c>
      <c r="AD202" s="14">
        <f>IF(A202&lt;=Summary!C18,AB202+IF(A202=Summary!C18,Summary!C40,0),0)</f>
        <v>0</v>
      </c>
      <c r="AE202" s="14">
        <f>IF(A202&lt;=Summary!C18,Z202+IF(A202=Summary!C18,Summary!C40-Y202,0),0)</f>
        <v>0</v>
      </c>
      <c r="AF202" s="14">
        <f>AD202-IF(A202=0,Drivers!C44,0)</f>
        <v>0</v>
      </c>
      <c r="AG202" s="14">
        <f t="shared" si="8"/>
        <v>-107231716.5</v>
      </c>
    </row>
    <row r="203">
      <c r="A203" s="2">
        <v>201.0</v>
      </c>
      <c r="B203" s="15">
        <f>EDATE(Setup!B2,A203)</f>
        <v>52396</v>
      </c>
      <c r="C203" s="2" t="str">
        <f>IF(A203=0,"T0",IF(A203&lt;=Drivers!C19,"Preconstruction",IF(A203&lt;=(Drivers!C19+Drivers!C20),"Construction","Trading")))</f>
        <v>Trading</v>
      </c>
      <c r="D203" s="12">
        <f t="array" ref="D203">IF(AND(A203&gt;Drivers!C19,A203&lt;=(Drivers!C19+Drivers!C20)),SIN(PI()*(A203-Drivers!C19-0.5)/Drivers!C20)/SUMPRODUCT(SIN(PI()*(SEQUENCE(Drivers!C20,1)-0.5)/Drivers!C20)),0)</f>
        <v>0</v>
      </c>
      <c r="E203" s="14">
        <f>(Summary!C10+Summary!C12)*D203*(1+Drivers!C21)^(A203/12)</f>
        <v>0</v>
      </c>
      <c r="F203" s="14">
        <f>IF(AND(A203&gt;0,A203&lt;=Drivers!C19),Summary!C11*Drivers!C40/Drivers!C19*(1+Drivers!C21)^(A203/12),Summary!C11*(1-Drivers!C40 )*D203*(1+Drivers!C21)^(A203/12))</f>
        <v>0</v>
      </c>
      <c r="G203" s="14">
        <f>IF(AND(A203&gt;0,A203&lt;=2),Drivers!C16/2,0)</f>
        <v>0</v>
      </c>
      <c r="H203" s="14">
        <f>IF(A203=(Drivers!C19+Drivers!C20),Drivers!C17*(1+Drivers!C21)^(A203/12),0)</f>
        <v>0</v>
      </c>
      <c r="I203" s="14">
        <f>IF(AND(A203&gt;0,A203&lt;=(Drivers!C19+Drivers!C20)),Drivers!C18*(1+Drivers!C23)^(A203/12),0)</f>
        <v>0</v>
      </c>
      <c r="J203" s="14">
        <f t="shared" si="1"/>
        <v>0</v>
      </c>
      <c r="K203" s="12">
        <f>IF(A203&gt;(Drivers!C19+Drivers!C20),MIN(1,0.5+0.5*(A203-(Drivers!C19+Drivers!C20))/Drivers!C39),0)</f>
        <v>1</v>
      </c>
      <c r="L203" s="14">
        <f>Drivers!C2*(B203-B202)*Drivers!C24*(1+Drivers!C22)^(A203/12)*Drivers!C25*K203</f>
        <v>968690.7253</v>
      </c>
      <c r="M203" s="14">
        <f>L203*Drivers!C26</f>
        <v>193738.1451</v>
      </c>
      <c r="N203" s="14">
        <f>(L203+M203)*Drivers!C27</f>
        <v>406850.1046</v>
      </c>
      <c r="O203" s="14">
        <f>IF(A203&gt;(Drivers!C19+Drivers!C20),Drivers!C28/12*(1+Drivers!C23)^(A203/12),0)</f>
        <v>642964.7719</v>
      </c>
      <c r="P203" s="14">
        <f>(L203+M203)*Drivers!C29</f>
        <v>46497.15482</v>
      </c>
      <c r="Q203" s="14">
        <f>Drivers!C3*Drivers!C30*(1+Drivers!C22)^(A203/12)*Drivers!C31*(1-Drivers!C32 )*K203</f>
        <v>73780.20757</v>
      </c>
      <c r="R203" s="14">
        <f>IF(A203&gt;(Drivers!C19+Drivers!C20),Drivers!C33/12*(1+Drivers!C23)^(A203/12),0)</f>
        <v>96444.71578</v>
      </c>
      <c r="S203" s="14">
        <f t="shared" si="2"/>
        <v>43452.33084</v>
      </c>
      <c r="T203" s="14">
        <f t="shared" si="6"/>
        <v>282932.4655</v>
      </c>
      <c r="U203" s="14">
        <f>IF(AND(A203&gt;Drivers!C19,A203&lt;=(Drivers!C19+Drivers!C20)),Summary!C31*D203,0)</f>
        <v>0</v>
      </c>
      <c r="V203" s="14">
        <f>IF(A203&lt;=(Drivers!C19+Drivers!C20),(T203+U203/2)*Drivers!C36/12,T203*Drivers!C36/12)</f>
        <v>2711.436128</v>
      </c>
      <c r="W203" s="14">
        <f>IF(A203&gt;(Drivers!C19+Drivers!C20),MIN(T203,MAX(0,Summary!C32/12-V203)),0)</f>
        <v>11613.75099</v>
      </c>
      <c r="X203" s="14">
        <f>IF(A203=(Drivers!C19+1),Summary!C31*Drivers!C38,0)</f>
        <v>0</v>
      </c>
      <c r="Y203" s="14">
        <f t="shared" si="3"/>
        <v>271318.7146</v>
      </c>
      <c r="Z203" s="14">
        <f t="shared" si="4"/>
        <v>29127.14372</v>
      </c>
      <c r="AA203" s="14">
        <f t="shared" si="7"/>
        <v>-108363856.8</v>
      </c>
      <c r="AB203" s="14">
        <f t="shared" si="5"/>
        <v>43452.33084</v>
      </c>
      <c r="AC203" s="14">
        <f>(E203+F203+G203+H203)*Drivers!C45</f>
        <v>0</v>
      </c>
      <c r="AD203" s="14">
        <f>IF(A203&lt;=Summary!C18,AB203+IF(A203=Summary!C18,Summary!C40,0),0)</f>
        <v>0</v>
      </c>
      <c r="AE203" s="14">
        <f>IF(A203&lt;=Summary!C18,Z203+IF(A203=Summary!C18,Summary!C40-Y203,0),0)</f>
        <v>0</v>
      </c>
      <c r="AF203" s="14">
        <f>AD203-IF(A203=0,Drivers!C44,0)</f>
        <v>0</v>
      </c>
      <c r="AG203" s="14">
        <f t="shared" si="8"/>
        <v>-107188264.2</v>
      </c>
    </row>
    <row r="204">
      <c r="A204" s="2">
        <v>202.0</v>
      </c>
      <c r="B204" s="15">
        <f>EDATE(Setup!B2,A204)</f>
        <v>52426</v>
      </c>
      <c r="C204" s="2" t="str">
        <f>IF(A204=0,"T0",IF(A204&lt;=Drivers!C19,"Preconstruction",IF(A204&lt;=(Drivers!C19+Drivers!C20),"Construction","Trading")))</f>
        <v>Trading</v>
      </c>
      <c r="D204" s="12">
        <f t="array" ref="D204">IF(AND(A204&gt;Drivers!C19,A204&lt;=(Drivers!C19+Drivers!C20)),SIN(PI()*(A204-Drivers!C19-0.5)/Drivers!C20)/SUMPRODUCT(SIN(PI()*(SEQUENCE(Drivers!C20,1)-0.5)/Drivers!C20)),0)</f>
        <v>0</v>
      </c>
      <c r="E204" s="14">
        <f>(Summary!C10+Summary!C12)*D204*(1+Drivers!C21)^(A204/12)</f>
        <v>0</v>
      </c>
      <c r="F204" s="14">
        <f>IF(AND(A204&gt;0,A204&lt;=Drivers!C19),Summary!C11*Drivers!C40/Drivers!C19*(1+Drivers!C21)^(A204/12),Summary!C11*(1-Drivers!C40 )*D204*(1+Drivers!C21)^(A204/12))</f>
        <v>0</v>
      </c>
      <c r="G204" s="14">
        <f>IF(AND(A204&gt;0,A204&lt;=2),Drivers!C16/2,0)</f>
        <v>0</v>
      </c>
      <c r="H204" s="14">
        <f>IF(A204=(Drivers!C19+Drivers!C20),Drivers!C17*(1+Drivers!C21)^(A204/12),0)</f>
        <v>0</v>
      </c>
      <c r="I204" s="14">
        <f>IF(AND(A204&gt;0,A204&lt;=(Drivers!C19+Drivers!C20)),Drivers!C18*(1+Drivers!C23)^(A204/12),0)</f>
        <v>0</v>
      </c>
      <c r="J204" s="14">
        <f t="shared" si="1"/>
        <v>0</v>
      </c>
      <c r="K204" s="12">
        <f>IF(A204&gt;(Drivers!C19+Drivers!C20),MIN(1,0.5+0.5*(A204-(Drivers!C19+Drivers!C20))/Drivers!C39),0)</f>
        <v>1</v>
      </c>
      <c r="L204" s="14">
        <f>Drivers!C2*(B204-B203)*Drivers!C24*(1+Drivers!C22)^(A204/12)*Drivers!C25*K204</f>
        <v>940511.5807</v>
      </c>
      <c r="M204" s="14">
        <f>L204*Drivers!C26</f>
        <v>188102.3161</v>
      </c>
      <c r="N204" s="14">
        <f>(L204+M204)*Drivers!C27</f>
        <v>395014.8639</v>
      </c>
      <c r="O204" s="14">
        <f>IF(A204&gt;(Drivers!C19+Drivers!C20),Drivers!C28/12*(1+Drivers!C23)^(A204/12),0)</f>
        <v>645069.6712</v>
      </c>
      <c r="P204" s="14">
        <f>(L204+M204)*Drivers!C29</f>
        <v>45144.55587</v>
      </c>
      <c r="Q204" s="14">
        <f>Drivers!C3*Drivers!C30*(1+Drivers!C22)^(A204/12)*Drivers!C31*(1-Drivers!C32 )*K204</f>
        <v>74021.74478</v>
      </c>
      <c r="R204" s="14">
        <f>IF(A204&gt;(Drivers!C19+Drivers!C20),Drivers!C33/12*(1+Drivers!C23)^(A204/12),0)</f>
        <v>96760.45069</v>
      </c>
      <c r="S204" s="14">
        <f t="shared" si="2"/>
        <v>20646.0999</v>
      </c>
      <c r="T204" s="14">
        <f t="shared" si="6"/>
        <v>271318.7146</v>
      </c>
      <c r="U204" s="14">
        <f>IF(AND(A204&gt;Drivers!C19,A204&lt;=(Drivers!C19+Drivers!C20)),Summary!C31*D204,0)</f>
        <v>0</v>
      </c>
      <c r="V204" s="14">
        <f>IF(A204&lt;=(Drivers!C19+Drivers!C20),(T204+U204/2)*Drivers!C36/12,T204*Drivers!C36/12)</f>
        <v>2600.137681</v>
      </c>
      <c r="W204" s="14">
        <f>IF(A204&gt;(Drivers!C19+Drivers!C20),MIN(T204,MAX(0,Summary!C32/12-V204)),0)</f>
        <v>11725.04944</v>
      </c>
      <c r="X204" s="14">
        <f>IF(A204=(Drivers!C19+1),Summary!C31*Drivers!C38,0)</f>
        <v>0</v>
      </c>
      <c r="Y204" s="14">
        <f t="shared" si="3"/>
        <v>259593.6651</v>
      </c>
      <c r="Z204" s="14">
        <f t="shared" si="4"/>
        <v>6320.912775</v>
      </c>
      <c r="AA204" s="14">
        <f t="shared" si="7"/>
        <v>-108357535.9</v>
      </c>
      <c r="AB204" s="14">
        <f t="shared" si="5"/>
        <v>20646.0999</v>
      </c>
      <c r="AC204" s="14">
        <f>(E204+F204+G204+H204)*Drivers!C45</f>
        <v>0</v>
      </c>
      <c r="AD204" s="14">
        <f>IF(A204&lt;=Summary!C18,AB204+IF(A204=Summary!C18,Summary!C40,0),0)</f>
        <v>0</v>
      </c>
      <c r="AE204" s="14">
        <f>IF(A204&lt;=Summary!C18,Z204+IF(A204=Summary!C18,Summary!C40-Y204,0),0)</f>
        <v>0</v>
      </c>
      <c r="AF204" s="14">
        <f>AD204-IF(A204=0,Drivers!C44,0)</f>
        <v>0</v>
      </c>
      <c r="AG204" s="14">
        <f t="shared" si="8"/>
        <v>-107167618.1</v>
      </c>
    </row>
    <row r="205">
      <c r="A205" s="2">
        <v>203.0</v>
      </c>
      <c r="B205" s="15">
        <f>EDATE(Setup!B2,A205)</f>
        <v>52457</v>
      </c>
      <c r="C205" s="2" t="str">
        <f>IF(A205=0,"T0",IF(A205&lt;=Drivers!C19,"Preconstruction",IF(A205&lt;=(Drivers!C19+Drivers!C20),"Construction","Trading")))</f>
        <v>Trading</v>
      </c>
      <c r="D205" s="12">
        <f t="array" ref="D205">IF(AND(A205&gt;Drivers!C19,A205&lt;=(Drivers!C19+Drivers!C20)),SIN(PI()*(A205-Drivers!C19-0.5)/Drivers!C20)/SUMPRODUCT(SIN(PI()*(SEQUENCE(Drivers!C20,1)-0.5)/Drivers!C20)),0)</f>
        <v>0</v>
      </c>
      <c r="E205" s="14">
        <f>(Summary!C10+Summary!C12)*D205*(1+Drivers!C21)^(A205/12)</f>
        <v>0</v>
      </c>
      <c r="F205" s="14">
        <f>IF(AND(A205&gt;0,A205&lt;=Drivers!C19),Summary!C11*Drivers!C40/Drivers!C19*(1+Drivers!C21)^(A205/12),Summary!C11*(1-Drivers!C40 )*D205*(1+Drivers!C21)^(A205/12))</f>
        <v>0</v>
      </c>
      <c r="G205" s="14">
        <f>IF(AND(A205&gt;0,A205&lt;=2),Drivers!C16/2,0)</f>
        <v>0</v>
      </c>
      <c r="H205" s="14">
        <f>IF(A205=(Drivers!C19+Drivers!C20),Drivers!C17*(1+Drivers!C21)^(A205/12),0)</f>
        <v>0</v>
      </c>
      <c r="I205" s="14">
        <f>IF(AND(A205&gt;0,A205&lt;=(Drivers!C19+Drivers!C20)),Drivers!C18*(1+Drivers!C23)^(A205/12),0)</f>
        <v>0</v>
      </c>
      <c r="J205" s="14">
        <f t="shared" si="1"/>
        <v>0</v>
      </c>
      <c r="K205" s="12">
        <f>IF(A205&gt;(Drivers!C19+Drivers!C20),MIN(1,0.5+0.5*(A205-(Drivers!C19+Drivers!C20))/Drivers!C39),0)</f>
        <v>1</v>
      </c>
      <c r="L205" s="14">
        <f>Drivers!C2*(B205-B204)*Drivers!C24*(1+Drivers!C22)^(A205/12)*Drivers!C25*K205</f>
        <v>975043.5899</v>
      </c>
      <c r="M205" s="14">
        <f>L205*Drivers!C26</f>
        <v>195008.718</v>
      </c>
      <c r="N205" s="14">
        <f>(L205+M205)*Drivers!C27</f>
        <v>409518.3077</v>
      </c>
      <c r="O205" s="14">
        <f>IF(A205&gt;(Drivers!C19+Drivers!C20),Drivers!C28/12*(1+Drivers!C23)^(A205/12),0)</f>
        <v>647181.4615</v>
      </c>
      <c r="P205" s="14">
        <f>(L205+M205)*Drivers!C29</f>
        <v>46802.09231</v>
      </c>
      <c r="Q205" s="14">
        <f>Drivers!C3*Drivers!C30*(1+Drivers!C22)^(A205/12)*Drivers!C31*(1-Drivers!C32 )*K205</f>
        <v>74264.07271</v>
      </c>
      <c r="R205" s="14">
        <f>IF(A205&gt;(Drivers!C19+Drivers!C20),Drivers!C33/12*(1+Drivers!C23)^(A205/12),0)</f>
        <v>97077.21922</v>
      </c>
      <c r="S205" s="14">
        <f t="shared" si="2"/>
        <v>43737.29979</v>
      </c>
      <c r="T205" s="14">
        <f t="shared" si="6"/>
        <v>259593.6651</v>
      </c>
      <c r="U205" s="14">
        <f>IF(AND(A205&gt;Drivers!C19,A205&lt;=(Drivers!C19+Drivers!C20)),Summary!C31*D205,0)</f>
        <v>0</v>
      </c>
      <c r="V205" s="14">
        <f>IF(A205&lt;=(Drivers!C19+Drivers!C20),(T205+U205/2)*Drivers!C36/12,T205*Drivers!C36/12)</f>
        <v>2487.772624</v>
      </c>
      <c r="W205" s="14">
        <f>IF(A205&gt;(Drivers!C19+Drivers!C20),MIN(T205,MAX(0,Summary!C32/12-V205)),0)</f>
        <v>11837.4145</v>
      </c>
      <c r="X205" s="14">
        <f>IF(A205=(Drivers!C19+1),Summary!C31*Drivers!C38,0)</f>
        <v>0</v>
      </c>
      <c r="Y205" s="14">
        <f t="shared" si="3"/>
        <v>247756.2506</v>
      </c>
      <c r="Z205" s="14">
        <f t="shared" si="4"/>
        <v>29412.11266</v>
      </c>
      <c r="AA205" s="14">
        <f t="shared" si="7"/>
        <v>-108328123.8</v>
      </c>
      <c r="AB205" s="14">
        <f t="shared" si="5"/>
        <v>43737.29979</v>
      </c>
      <c r="AC205" s="14">
        <f>(E205+F205+G205+H205)*Drivers!C45</f>
        <v>0</v>
      </c>
      <c r="AD205" s="14">
        <f>IF(A205&lt;=Summary!C18,AB205+IF(A205=Summary!C18,Summary!C40,0),0)</f>
        <v>0</v>
      </c>
      <c r="AE205" s="14">
        <f>IF(A205&lt;=Summary!C18,Z205+IF(A205=Summary!C18,Summary!C40-Y205,0),0)</f>
        <v>0</v>
      </c>
      <c r="AF205" s="14">
        <f>AD205-IF(A205=0,Drivers!C44,0)</f>
        <v>0</v>
      </c>
      <c r="AG205" s="14">
        <f t="shared" si="8"/>
        <v>-107123880.8</v>
      </c>
    </row>
    <row r="206">
      <c r="A206" s="2">
        <v>204.0</v>
      </c>
      <c r="B206" s="15">
        <f>EDATE(Setup!B2,A206)</f>
        <v>52488</v>
      </c>
      <c r="C206" s="2" t="str">
        <f>IF(A206=0,"T0",IF(A206&lt;=Drivers!C19,"Preconstruction",IF(A206&lt;=(Drivers!C19+Drivers!C20),"Construction","Trading")))</f>
        <v>Trading</v>
      </c>
      <c r="D206" s="12">
        <f t="array" ref="D206">IF(AND(A206&gt;Drivers!C19,A206&lt;=(Drivers!C19+Drivers!C20)),SIN(PI()*(A206-Drivers!C19-0.5)/Drivers!C20)/SUMPRODUCT(SIN(PI()*(SEQUENCE(Drivers!C20,1)-0.5)/Drivers!C20)),0)</f>
        <v>0</v>
      </c>
      <c r="E206" s="14">
        <f>(Summary!C10+Summary!C12)*D206*(1+Drivers!C21)^(A206/12)</f>
        <v>0</v>
      </c>
      <c r="F206" s="14">
        <f>IF(AND(A206&gt;0,A206&lt;=Drivers!C19),Summary!C11*Drivers!C40/Drivers!C19*(1+Drivers!C21)^(A206/12),Summary!C11*(1-Drivers!C40 )*D206*(1+Drivers!C21)^(A206/12))</f>
        <v>0</v>
      </c>
      <c r="G206" s="14">
        <f>IF(AND(A206&gt;0,A206&lt;=2),Drivers!C16/2,0)</f>
        <v>0</v>
      </c>
      <c r="H206" s="14">
        <f>IF(A206=(Drivers!C19+Drivers!C20),Drivers!C17*(1+Drivers!C21)^(A206/12),0)</f>
        <v>0</v>
      </c>
      <c r="I206" s="14">
        <f>IF(AND(A206&gt;0,A206&lt;=(Drivers!C19+Drivers!C20)),Drivers!C18*(1+Drivers!C23)^(A206/12),0)</f>
        <v>0</v>
      </c>
      <c r="J206" s="14">
        <f t="shared" si="1"/>
        <v>0</v>
      </c>
      <c r="K206" s="12">
        <f>IF(A206&gt;(Drivers!C19+Drivers!C20),MIN(1,0.5+0.5*(A206-(Drivers!C19+Drivers!C20))/Drivers!C39),0)</f>
        <v>1</v>
      </c>
      <c r="L206" s="14">
        <f>Drivers!C2*(B206-B205)*Drivers!C24*(1+Drivers!C22)^(A206/12)*Drivers!C25*K206</f>
        <v>978235.6289</v>
      </c>
      <c r="M206" s="14">
        <f>L206*Drivers!C26</f>
        <v>195647.1258</v>
      </c>
      <c r="N206" s="14">
        <f>(L206+M206)*Drivers!C27</f>
        <v>410858.9641</v>
      </c>
      <c r="O206" s="14">
        <f>IF(A206&gt;(Drivers!C19+Drivers!C20),Drivers!C28/12*(1+Drivers!C23)^(A206/12),0)</f>
        <v>649300.1652</v>
      </c>
      <c r="P206" s="14">
        <f>(L206+M206)*Drivers!C29</f>
        <v>46955.31019</v>
      </c>
      <c r="Q206" s="14">
        <f>Drivers!C3*Drivers!C30*(1+Drivers!C22)^(A206/12)*Drivers!C31*(1-Drivers!C32 )*K206</f>
        <v>74507.19396</v>
      </c>
      <c r="R206" s="14">
        <f>IF(A206&gt;(Drivers!C19+Drivers!C20),Drivers!C33/12*(1+Drivers!C23)^(A206/12),0)</f>
        <v>97395.02478</v>
      </c>
      <c r="S206" s="14">
        <f t="shared" si="2"/>
        <v>43880.48432</v>
      </c>
      <c r="T206" s="14">
        <f t="shared" si="6"/>
        <v>247756.2506</v>
      </c>
      <c r="U206" s="14">
        <f>IF(AND(A206&gt;Drivers!C19,A206&lt;=(Drivers!C19+Drivers!C20)),Summary!C31*D206,0)</f>
        <v>0</v>
      </c>
      <c r="V206" s="14">
        <f>IF(A206&lt;=(Drivers!C19+Drivers!C20),(T206+U206/2)*Drivers!C36/12,T206*Drivers!C36/12)</f>
        <v>2374.330735</v>
      </c>
      <c r="W206" s="14">
        <f>IF(A206&gt;(Drivers!C19+Drivers!C20),MIN(T206,MAX(0,Summary!C32/12-V206)),0)</f>
        <v>11950.85639</v>
      </c>
      <c r="X206" s="14">
        <f>IF(A206=(Drivers!C19+1),Summary!C31*Drivers!C38,0)</f>
        <v>0</v>
      </c>
      <c r="Y206" s="14">
        <f t="shared" si="3"/>
        <v>235805.3942</v>
      </c>
      <c r="Z206" s="14">
        <f t="shared" si="4"/>
        <v>29555.2972</v>
      </c>
      <c r="AA206" s="14">
        <f t="shared" si="7"/>
        <v>-108298568.5</v>
      </c>
      <c r="AB206" s="14">
        <f t="shared" si="5"/>
        <v>43880.48432</v>
      </c>
      <c r="AC206" s="14">
        <f>(E206+F206+G206+H206)*Drivers!C45</f>
        <v>0</v>
      </c>
      <c r="AD206" s="14">
        <f>IF(A206&lt;=Summary!C18,AB206+IF(A206=Summary!C18,Summary!C40,0),0)</f>
        <v>0</v>
      </c>
      <c r="AE206" s="14">
        <f>IF(A206&lt;=Summary!C18,Z206+IF(A206=Summary!C18,Summary!C40-Y206,0),0)</f>
        <v>0</v>
      </c>
      <c r="AF206" s="14">
        <f>AD206-IF(A206=0,Drivers!C44,0)</f>
        <v>0</v>
      </c>
      <c r="AG206" s="14">
        <f t="shared" si="8"/>
        <v>-107080000.3</v>
      </c>
    </row>
    <row r="207">
      <c r="A207" s="2">
        <v>205.0</v>
      </c>
      <c r="B207" s="15">
        <f>EDATE(Setup!B2,A207)</f>
        <v>52518</v>
      </c>
      <c r="C207" s="2" t="str">
        <f>IF(A207=0,"T0",IF(A207&lt;=Drivers!C19,"Preconstruction",IF(A207&lt;=(Drivers!C19+Drivers!C20),"Construction","Trading")))</f>
        <v>Trading</v>
      </c>
      <c r="D207" s="12">
        <f t="array" ref="D207">IF(AND(A207&gt;Drivers!C19,A207&lt;=(Drivers!C19+Drivers!C20)),SIN(PI()*(A207-Drivers!C19-0.5)/Drivers!C20)/SUMPRODUCT(SIN(PI()*(SEQUENCE(Drivers!C20,1)-0.5)/Drivers!C20)),0)</f>
        <v>0</v>
      </c>
      <c r="E207" s="14">
        <f>(Summary!C10+Summary!C12)*D207*(1+Drivers!C21)^(A207/12)</f>
        <v>0</v>
      </c>
      <c r="F207" s="14">
        <f>IF(AND(A207&gt;0,A207&lt;=Drivers!C19),Summary!C11*Drivers!C40/Drivers!C19*(1+Drivers!C21)^(A207/12),Summary!C11*(1-Drivers!C40 )*D207*(1+Drivers!C21)^(A207/12))</f>
        <v>0</v>
      </c>
      <c r="G207" s="14">
        <f>IF(AND(A207&gt;0,A207&lt;=2),Drivers!C16/2,0)</f>
        <v>0</v>
      </c>
      <c r="H207" s="14">
        <f>IF(A207=(Drivers!C19+Drivers!C20),Drivers!C17*(1+Drivers!C21)^(A207/12),0)</f>
        <v>0</v>
      </c>
      <c r="I207" s="14">
        <f>IF(AND(A207&gt;0,A207&lt;=(Drivers!C19+Drivers!C20)),Drivers!C18*(1+Drivers!C23)^(A207/12),0)</f>
        <v>0</v>
      </c>
      <c r="J207" s="14">
        <f t="shared" si="1"/>
        <v>0</v>
      </c>
      <c r="K207" s="12">
        <f>IF(A207&gt;(Drivers!C19+Drivers!C20),MIN(1,0.5+0.5*(A207-(Drivers!C19+Drivers!C20))/Drivers!C39),0)</f>
        <v>1</v>
      </c>
      <c r="L207" s="14">
        <f>Drivers!C2*(B207-B206)*Drivers!C24*(1+Drivers!C22)^(A207/12)*Drivers!C25*K207</f>
        <v>949778.8236</v>
      </c>
      <c r="M207" s="14">
        <f>L207*Drivers!C26</f>
        <v>189955.7647</v>
      </c>
      <c r="N207" s="14">
        <f>(L207+M207)*Drivers!C27</f>
        <v>398907.1059</v>
      </c>
      <c r="O207" s="14">
        <f>IF(A207&gt;(Drivers!C19+Drivers!C20),Drivers!C28/12*(1+Drivers!C23)^(A207/12),0)</f>
        <v>651425.805</v>
      </c>
      <c r="P207" s="14">
        <f>(L207+M207)*Drivers!C29</f>
        <v>45589.38353</v>
      </c>
      <c r="Q207" s="14">
        <f>Drivers!C3*Drivers!C30*(1+Drivers!C22)^(A207/12)*Drivers!C31*(1-Drivers!C32 )*K207</f>
        <v>74751.11112</v>
      </c>
      <c r="R207" s="14">
        <f>IF(A207&gt;(Drivers!C19+Drivers!C20),Drivers!C33/12*(1+Drivers!C23)^(A207/12),0)</f>
        <v>97713.87075</v>
      </c>
      <c r="S207" s="14">
        <f t="shared" si="2"/>
        <v>20849.53431</v>
      </c>
      <c r="T207" s="14">
        <f t="shared" si="6"/>
        <v>235805.3942</v>
      </c>
      <c r="U207" s="14">
        <f>IF(AND(A207&gt;Drivers!C19,A207&lt;=(Drivers!C19+Drivers!C20)),Summary!C31*D207,0)</f>
        <v>0</v>
      </c>
      <c r="V207" s="14">
        <f>IF(A207&lt;=(Drivers!C19+Drivers!C20),(T207+U207/2)*Drivers!C36/12,T207*Drivers!C36/12)</f>
        <v>2259.801695</v>
      </c>
      <c r="W207" s="14">
        <f>IF(A207&gt;(Drivers!C19+Drivers!C20),MIN(T207,MAX(0,Summary!C32/12-V207)),0)</f>
        <v>12065.38543</v>
      </c>
      <c r="X207" s="14">
        <f>IF(A207=(Drivers!C19+1),Summary!C31*Drivers!C38,0)</f>
        <v>0</v>
      </c>
      <c r="Y207" s="14">
        <f t="shared" si="3"/>
        <v>223740.0088</v>
      </c>
      <c r="Z207" s="14">
        <f t="shared" si="4"/>
        <v>6524.347191</v>
      </c>
      <c r="AA207" s="14">
        <f t="shared" si="7"/>
        <v>-108292044.1</v>
      </c>
      <c r="AB207" s="14">
        <f t="shared" si="5"/>
        <v>20849.53431</v>
      </c>
      <c r="AC207" s="14">
        <f>(E207+F207+G207+H207)*Drivers!C45</f>
        <v>0</v>
      </c>
      <c r="AD207" s="14">
        <f>IF(A207&lt;=Summary!C18,AB207+IF(A207=Summary!C18,Summary!C40,0),0)</f>
        <v>0</v>
      </c>
      <c r="AE207" s="14">
        <f>IF(A207&lt;=Summary!C18,Z207+IF(A207=Summary!C18,Summary!C40-Y207,0),0)</f>
        <v>0</v>
      </c>
      <c r="AF207" s="14">
        <f>AD207-IF(A207=0,Drivers!C44,0)</f>
        <v>0</v>
      </c>
      <c r="AG207" s="14">
        <f t="shared" si="8"/>
        <v>-107059150.8</v>
      </c>
    </row>
    <row r="208">
      <c r="A208" s="2">
        <v>206.0</v>
      </c>
      <c r="B208" s="15">
        <f>EDATE(Setup!B2,A208)</f>
        <v>52549</v>
      </c>
      <c r="C208" s="2" t="str">
        <f>IF(A208=0,"T0",IF(A208&lt;=Drivers!C19,"Preconstruction",IF(A208&lt;=(Drivers!C19+Drivers!C20),"Construction","Trading")))</f>
        <v>Trading</v>
      </c>
      <c r="D208" s="12">
        <f t="array" ref="D208">IF(AND(A208&gt;Drivers!C19,A208&lt;=(Drivers!C19+Drivers!C20)),SIN(PI()*(A208-Drivers!C19-0.5)/Drivers!C20)/SUMPRODUCT(SIN(PI()*(SEQUENCE(Drivers!C20,1)-0.5)/Drivers!C20)),0)</f>
        <v>0</v>
      </c>
      <c r="E208" s="14">
        <f>(Summary!C10+Summary!C12)*D208*(1+Drivers!C21)^(A208/12)</f>
        <v>0</v>
      </c>
      <c r="F208" s="14">
        <f>IF(AND(A208&gt;0,A208&lt;=Drivers!C19),Summary!C11*Drivers!C40/Drivers!C19*(1+Drivers!C21)^(A208/12),Summary!C11*(1-Drivers!C40 )*D208*(1+Drivers!C21)^(A208/12))</f>
        <v>0</v>
      </c>
      <c r="G208" s="14">
        <f>IF(AND(A208&gt;0,A208&lt;=2),Drivers!C16/2,0)</f>
        <v>0</v>
      </c>
      <c r="H208" s="14">
        <f>IF(A208=(Drivers!C19+Drivers!C20),Drivers!C17*(1+Drivers!C21)^(A208/12),0)</f>
        <v>0</v>
      </c>
      <c r="I208" s="14">
        <f>IF(AND(A208&gt;0,A208&lt;=(Drivers!C19+Drivers!C20)),Drivers!C18*(1+Drivers!C23)^(A208/12),0)</f>
        <v>0</v>
      </c>
      <c r="J208" s="14">
        <f t="shared" si="1"/>
        <v>0</v>
      </c>
      <c r="K208" s="12">
        <f>IF(A208&gt;(Drivers!C19+Drivers!C20),MIN(1,0.5+0.5*(A208-(Drivers!C19+Drivers!C20))/Drivers!C39),0)</f>
        <v>1</v>
      </c>
      <c r="L208" s="14">
        <f>Drivers!C2*(B208-B207)*Drivers!C24*(1+Drivers!C22)^(A208/12)*Drivers!C25*K208</f>
        <v>984651.0908</v>
      </c>
      <c r="M208" s="14">
        <f>L208*Drivers!C26</f>
        <v>196930.2182</v>
      </c>
      <c r="N208" s="14">
        <f>(L208+M208)*Drivers!C27</f>
        <v>413553.4581</v>
      </c>
      <c r="O208" s="14">
        <f>IF(A208&gt;(Drivers!C19+Drivers!C20),Drivers!C28/12*(1+Drivers!C23)^(A208/12),0)</f>
        <v>653558.4035</v>
      </c>
      <c r="P208" s="14">
        <f>(L208+M208)*Drivers!C29</f>
        <v>47263.25236</v>
      </c>
      <c r="Q208" s="14">
        <f>Drivers!C3*Drivers!C30*(1+Drivers!C22)^(A208/12)*Drivers!C31*(1-Drivers!C32 )*K208</f>
        <v>74995.82681</v>
      </c>
      <c r="R208" s="14">
        <f>IF(A208&gt;(Drivers!C19+Drivers!C20),Drivers!C33/12*(1+Drivers!C23)^(A208/12),0)</f>
        <v>98033.76053</v>
      </c>
      <c r="S208" s="14">
        <f t="shared" si="2"/>
        <v>44168.26118</v>
      </c>
      <c r="T208" s="14">
        <f t="shared" si="6"/>
        <v>223740.0088</v>
      </c>
      <c r="U208" s="14">
        <f>IF(AND(A208&gt;Drivers!C19,A208&lt;=(Drivers!C19+Drivers!C20)),Summary!C31*D208,0)</f>
        <v>0</v>
      </c>
      <c r="V208" s="14">
        <f>IF(A208&lt;=(Drivers!C19+Drivers!C20),(T208+U208/2)*Drivers!C36/12,T208*Drivers!C36/12)</f>
        <v>2144.175084</v>
      </c>
      <c r="W208" s="14">
        <f>IF(A208&gt;(Drivers!C19+Drivers!C20),MIN(T208,MAX(0,Summary!C32/12-V208)),0)</f>
        <v>12181.01204</v>
      </c>
      <c r="X208" s="14">
        <f>IF(A208=(Drivers!C19+1),Summary!C31*Drivers!C38,0)</f>
        <v>0</v>
      </c>
      <c r="Y208" s="14">
        <f t="shared" si="3"/>
        <v>211558.9968</v>
      </c>
      <c r="Z208" s="14">
        <f t="shared" si="4"/>
        <v>29843.07406</v>
      </c>
      <c r="AA208" s="14">
        <f t="shared" si="7"/>
        <v>-108262201.1</v>
      </c>
      <c r="AB208" s="14">
        <f t="shared" si="5"/>
        <v>44168.26118</v>
      </c>
      <c r="AC208" s="14">
        <f>(E208+F208+G208+H208)*Drivers!C45</f>
        <v>0</v>
      </c>
      <c r="AD208" s="14">
        <f>IF(A208&lt;=Summary!C18,AB208+IF(A208=Summary!C18,Summary!C40,0),0)</f>
        <v>0</v>
      </c>
      <c r="AE208" s="14">
        <f>IF(A208&lt;=Summary!C18,Z208+IF(A208=Summary!C18,Summary!C40-Y208,0),0)</f>
        <v>0</v>
      </c>
      <c r="AF208" s="14">
        <f>AD208-IF(A208=0,Drivers!C44,0)</f>
        <v>0</v>
      </c>
      <c r="AG208" s="14">
        <f t="shared" si="8"/>
        <v>-107014982.5</v>
      </c>
    </row>
    <row r="209">
      <c r="A209" s="2">
        <v>207.0</v>
      </c>
      <c r="B209" s="15">
        <f>EDATE(Setup!B2,A209)</f>
        <v>52579</v>
      </c>
      <c r="C209" s="2" t="str">
        <f>IF(A209=0,"T0",IF(A209&lt;=Drivers!C19,"Preconstruction",IF(A209&lt;=(Drivers!C19+Drivers!C20),"Construction","Trading")))</f>
        <v>Trading</v>
      </c>
      <c r="D209" s="12">
        <f t="array" ref="D209">IF(AND(A209&gt;Drivers!C19,A209&lt;=(Drivers!C19+Drivers!C20)),SIN(PI()*(A209-Drivers!C19-0.5)/Drivers!C20)/SUMPRODUCT(SIN(PI()*(SEQUENCE(Drivers!C20,1)-0.5)/Drivers!C20)),0)</f>
        <v>0</v>
      </c>
      <c r="E209" s="14">
        <f>(Summary!C10+Summary!C12)*D209*(1+Drivers!C21)^(A209/12)</f>
        <v>0</v>
      </c>
      <c r="F209" s="14">
        <f>IF(AND(A209&gt;0,A209&lt;=Drivers!C19),Summary!C11*Drivers!C40/Drivers!C19*(1+Drivers!C21)^(A209/12),Summary!C11*(1-Drivers!C40 )*D209*(1+Drivers!C21)^(A209/12))</f>
        <v>0</v>
      </c>
      <c r="G209" s="14">
        <f>IF(AND(A209&gt;0,A209&lt;=2),Drivers!C16/2,0)</f>
        <v>0</v>
      </c>
      <c r="H209" s="14">
        <f>IF(A209=(Drivers!C19+Drivers!C20),Drivers!C17*(1+Drivers!C21)^(A209/12),0)</f>
        <v>0</v>
      </c>
      <c r="I209" s="14">
        <f>IF(AND(A209&gt;0,A209&lt;=(Drivers!C19+Drivers!C20)),Drivers!C18*(1+Drivers!C23)^(A209/12),0)</f>
        <v>0</v>
      </c>
      <c r="J209" s="14">
        <f t="shared" si="1"/>
        <v>0</v>
      </c>
      <c r="K209" s="12">
        <f>IF(A209&gt;(Drivers!C19+Drivers!C20),MIN(1,0.5+0.5*(A209-(Drivers!C19+Drivers!C20))/Drivers!C39),0)</f>
        <v>1</v>
      </c>
      <c r="L209" s="14">
        <f>Drivers!C2*(B209-B208)*Drivers!C24*(1+Drivers!C22)^(A209/12)*Drivers!C25*K209</f>
        <v>956007.6602</v>
      </c>
      <c r="M209" s="14">
        <f>L209*Drivers!C26</f>
        <v>191201.532</v>
      </c>
      <c r="N209" s="14">
        <f>(L209+M209)*Drivers!C27</f>
        <v>401523.2173</v>
      </c>
      <c r="O209" s="14">
        <f>IF(A209&gt;(Drivers!C19+Drivers!C20),Drivers!C28/12*(1+Drivers!C23)^(A209/12),0)</f>
        <v>655697.9837</v>
      </c>
      <c r="P209" s="14">
        <f>(L209+M209)*Drivers!C29</f>
        <v>45888.36769</v>
      </c>
      <c r="Q209" s="14">
        <f>Drivers!C3*Drivers!C30*(1+Drivers!C22)^(A209/12)*Drivers!C31*(1-Drivers!C32 )*K209</f>
        <v>75241.34363</v>
      </c>
      <c r="R209" s="14">
        <f>IF(A209&gt;(Drivers!C19+Drivers!C20),Drivers!C33/12*(1+Drivers!C23)^(A209/12),0)</f>
        <v>98354.69755</v>
      </c>
      <c r="S209" s="14">
        <f t="shared" si="2"/>
        <v>20986.26967</v>
      </c>
      <c r="T209" s="14">
        <f t="shared" si="6"/>
        <v>211558.9968</v>
      </c>
      <c r="U209" s="14">
        <f>IF(AND(A209&gt;Drivers!C19,A209&lt;=(Drivers!C19+Drivers!C20)),Summary!C31*D209,0)</f>
        <v>0</v>
      </c>
      <c r="V209" s="14">
        <f>IF(A209&lt;=(Drivers!C19+Drivers!C20),(T209+U209/2)*Drivers!C36/12,T209*Drivers!C36/12)</f>
        <v>2027.440386</v>
      </c>
      <c r="W209" s="14">
        <f>IF(A209&gt;(Drivers!C19+Drivers!C20),MIN(T209,MAX(0,Summary!C32/12-V209)),0)</f>
        <v>12297.74674</v>
      </c>
      <c r="X209" s="14">
        <f>IF(A209=(Drivers!C19+1),Summary!C31*Drivers!C38,0)</f>
        <v>0</v>
      </c>
      <c r="Y209" s="14">
        <f t="shared" si="3"/>
        <v>199261.25</v>
      </c>
      <c r="Z209" s="14">
        <f t="shared" si="4"/>
        <v>6661.082543</v>
      </c>
      <c r="AA209" s="14">
        <f t="shared" si="7"/>
        <v>-108255540</v>
      </c>
      <c r="AB209" s="14">
        <f t="shared" si="5"/>
        <v>20986.26967</v>
      </c>
      <c r="AC209" s="14">
        <f>(E209+F209+G209+H209)*Drivers!C45</f>
        <v>0</v>
      </c>
      <c r="AD209" s="14">
        <f>IF(A209&lt;=Summary!C18,AB209+IF(A209=Summary!C18,Summary!C40,0),0)</f>
        <v>0</v>
      </c>
      <c r="AE209" s="14">
        <f>IF(A209&lt;=Summary!C18,Z209+IF(A209=Summary!C18,Summary!C40-Y209,0),0)</f>
        <v>0</v>
      </c>
      <c r="AF209" s="14">
        <f>AD209-IF(A209=0,Drivers!C44,0)</f>
        <v>0</v>
      </c>
      <c r="AG209" s="14">
        <f t="shared" si="8"/>
        <v>-106993996.3</v>
      </c>
    </row>
    <row r="210">
      <c r="A210" s="2">
        <v>208.0</v>
      </c>
      <c r="B210" s="15">
        <f>EDATE(Setup!B2,A210)</f>
        <v>52610</v>
      </c>
      <c r="C210" s="2" t="str">
        <f>IF(A210=0,"T0",IF(A210&lt;=Drivers!C19,"Preconstruction",IF(A210&lt;=(Drivers!C19+Drivers!C20),"Construction","Trading")))</f>
        <v>Trading</v>
      </c>
      <c r="D210" s="12">
        <f t="array" ref="D210">IF(AND(A210&gt;Drivers!C19,A210&lt;=(Drivers!C19+Drivers!C20)),SIN(PI()*(A210-Drivers!C19-0.5)/Drivers!C20)/SUMPRODUCT(SIN(PI()*(SEQUENCE(Drivers!C20,1)-0.5)/Drivers!C20)),0)</f>
        <v>0</v>
      </c>
      <c r="E210" s="14">
        <f>(Summary!C10+Summary!C12)*D210*(1+Drivers!C21)^(A210/12)</f>
        <v>0</v>
      </c>
      <c r="F210" s="14">
        <f>IF(AND(A210&gt;0,A210&lt;=Drivers!C19),Summary!C11*Drivers!C40/Drivers!C19*(1+Drivers!C21)^(A210/12),Summary!C11*(1-Drivers!C40 )*D210*(1+Drivers!C21)^(A210/12))</f>
        <v>0</v>
      </c>
      <c r="G210" s="14">
        <f>IF(AND(A210&gt;0,A210&lt;=2),Drivers!C16/2,0)</f>
        <v>0</v>
      </c>
      <c r="H210" s="14">
        <f>IF(A210=(Drivers!C19+Drivers!C20),Drivers!C17*(1+Drivers!C21)^(A210/12),0)</f>
        <v>0</v>
      </c>
      <c r="I210" s="14">
        <f>IF(AND(A210&gt;0,A210&lt;=(Drivers!C19+Drivers!C20)),Drivers!C18*(1+Drivers!C23)^(A210/12),0)</f>
        <v>0</v>
      </c>
      <c r="J210" s="14">
        <f t="shared" si="1"/>
        <v>0</v>
      </c>
      <c r="K210" s="12">
        <f>IF(A210&gt;(Drivers!C19+Drivers!C20),MIN(1,0.5+0.5*(A210-(Drivers!C19+Drivers!C20))/Drivers!C39),0)</f>
        <v>1</v>
      </c>
      <c r="L210" s="14">
        <f>Drivers!C2*(B210-B209)*Drivers!C24*(1+Drivers!C22)^(A210/12)*Drivers!C25*K210</f>
        <v>991108.6265</v>
      </c>
      <c r="M210" s="14">
        <f>L210*Drivers!C26</f>
        <v>198221.7253</v>
      </c>
      <c r="N210" s="14">
        <f>(L210+M210)*Drivers!C27</f>
        <v>416265.6231</v>
      </c>
      <c r="O210" s="14">
        <f>IF(A210&gt;(Drivers!C19+Drivers!C20),Drivers!C28/12*(1+Drivers!C23)^(A210/12),0)</f>
        <v>657844.5683</v>
      </c>
      <c r="P210" s="14">
        <f>(L210+M210)*Drivers!C29</f>
        <v>47573.21407</v>
      </c>
      <c r="Q210" s="14">
        <f>Drivers!C3*Drivers!C30*(1+Drivers!C22)^(A210/12)*Drivers!C31*(1-Drivers!C32 )*K210</f>
        <v>75487.66421</v>
      </c>
      <c r="R210" s="14">
        <f>IF(A210&gt;(Drivers!C19+Drivers!C20),Drivers!C33/12*(1+Drivers!C23)^(A210/12),0)</f>
        <v>98676.68524</v>
      </c>
      <c r="S210" s="14">
        <f t="shared" si="2"/>
        <v>44457.92534</v>
      </c>
      <c r="T210" s="14">
        <f t="shared" si="6"/>
        <v>199261.25</v>
      </c>
      <c r="U210" s="14">
        <f>IF(AND(A210&gt;Drivers!C19,A210&lt;=(Drivers!C19+Drivers!C20)),Summary!C31*D210,0)</f>
        <v>0</v>
      </c>
      <c r="V210" s="14">
        <f>IF(A210&lt;=(Drivers!C19+Drivers!C20),(T210+U210/2)*Drivers!C36/12,T210*Drivers!C36/12)</f>
        <v>1909.586979</v>
      </c>
      <c r="W210" s="14">
        <f>IF(A210&gt;(Drivers!C19+Drivers!C20),MIN(T210,MAX(0,Summary!C32/12-V210)),0)</f>
        <v>12415.60014</v>
      </c>
      <c r="X210" s="14">
        <f>IF(A210=(Drivers!C19+1),Summary!C31*Drivers!C38,0)</f>
        <v>0</v>
      </c>
      <c r="Y210" s="14">
        <f t="shared" si="3"/>
        <v>186845.6499</v>
      </c>
      <c r="Z210" s="14">
        <f t="shared" si="4"/>
        <v>30132.73821</v>
      </c>
      <c r="AA210" s="14">
        <f t="shared" si="7"/>
        <v>-108225407.2</v>
      </c>
      <c r="AB210" s="14">
        <f t="shared" si="5"/>
        <v>44457.92534</v>
      </c>
      <c r="AC210" s="14">
        <f>(E210+F210+G210+H210)*Drivers!C45</f>
        <v>0</v>
      </c>
      <c r="AD210" s="14">
        <f>IF(A210&lt;=Summary!C18,AB210+IF(A210=Summary!C18,Summary!C40,0),0)</f>
        <v>0</v>
      </c>
      <c r="AE210" s="14">
        <f>IF(A210&lt;=Summary!C18,Z210+IF(A210=Summary!C18,Summary!C40-Y210,0),0)</f>
        <v>0</v>
      </c>
      <c r="AF210" s="14">
        <f>AD210-IF(A210=0,Drivers!C44,0)</f>
        <v>0</v>
      </c>
      <c r="AG210" s="14">
        <f t="shared" si="8"/>
        <v>-106949538.3</v>
      </c>
    </row>
    <row r="211">
      <c r="A211" s="2">
        <v>209.0</v>
      </c>
      <c r="B211" s="15">
        <f>EDATE(Setup!B2,A211)</f>
        <v>52641</v>
      </c>
      <c r="C211" s="2" t="str">
        <f>IF(A211=0,"T0",IF(A211&lt;=Drivers!C19,"Preconstruction",IF(A211&lt;=(Drivers!C19+Drivers!C20),"Construction","Trading")))</f>
        <v>Trading</v>
      </c>
      <c r="D211" s="12">
        <f t="array" ref="D211">IF(AND(A211&gt;Drivers!C19,A211&lt;=(Drivers!C19+Drivers!C20)),SIN(PI()*(A211-Drivers!C19-0.5)/Drivers!C20)/SUMPRODUCT(SIN(PI()*(SEQUENCE(Drivers!C20,1)-0.5)/Drivers!C20)),0)</f>
        <v>0</v>
      </c>
      <c r="E211" s="14">
        <f>(Summary!C10+Summary!C12)*D211*(1+Drivers!C21)^(A211/12)</f>
        <v>0</v>
      </c>
      <c r="F211" s="14">
        <f>IF(AND(A211&gt;0,A211&lt;=Drivers!C19),Summary!C11*Drivers!C40/Drivers!C19*(1+Drivers!C21)^(A211/12),Summary!C11*(1-Drivers!C40 )*D211*(1+Drivers!C21)^(A211/12))</f>
        <v>0</v>
      </c>
      <c r="G211" s="14">
        <f>IF(AND(A211&gt;0,A211&lt;=2),Drivers!C16/2,0)</f>
        <v>0</v>
      </c>
      <c r="H211" s="14">
        <f>IF(A211=(Drivers!C19+Drivers!C20),Drivers!C17*(1+Drivers!C21)^(A211/12),0)</f>
        <v>0</v>
      </c>
      <c r="I211" s="14">
        <f>IF(AND(A211&gt;0,A211&lt;=(Drivers!C19+Drivers!C20)),Drivers!C18*(1+Drivers!C23)^(A211/12),0)</f>
        <v>0</v>
      </c>
      <c r="J211" s="14">
        <f t="shared" si="1"/>
        <v>0</v>
      </c>
      <c r="K211" s="12">
        <f>IF(A211&gt;(Drivers!C19+Drivers!C20),MIN(1,0.5+0.5*(A211-(Drivers!C19+Drivers!C20))/Drivers!C39),0)</f>
        <v>1</v>
      </c>
      <c r="L211" s="14">
        <f>Drivers!C2*(B211-B210)*Drivers!C24*(1+Drivers!C22)^(A211/12)*Drivers!C25*K211</f>
        <v>994353.2583</v>
      </c>
      <c r="M211" s="14">
        <f>L211*Drivers!C26</f>
        <v>198870.6517</v>
      </c>
      <c r="N211" s="14">
        <f>(L211+M211)*Drivers!C27</f>
        <v>417628.3685</v>
      </c>
      <c r="O211" s="14">
        <f>IF(A211&gt;(Drivers!C19+Drivers!C20),Drivers!C28/12*(1+Drivers!C23)^(A211/12),0)</f>
        <v>659998.1802</v>
      </c>
      <c r="P211" s="14">
        <f>(L211+M211)*Drivers!C29</f>
        <v>47728.9564</v>
      </c>
      <c r="Q211" s="14">
        <f>Drivers!C3*Drivers!C30*(1+Drivers!C22)^(A211/12)*Drivers!C31*(1-Drivers!C32 )*K211</f>
        <v>75734.79118</v>
      </c>
      <c r="R211" s="14">
        <f>IF(A211&gt;(Drivers!C19+Drivers!C20),Drivers!C33/12*(1+Drivers!C23)^(A211/12),0)</f>
        <v>98999.72703</v>
      </c>
      <c r="S211" s="14">
        <f t="shared" si="2"/>
        <v>44603.46902</v>
      </c>
      <c r="T211" s="14">
        <f t="shared" si="6"/>
        <v>186845.6499</v>
      </c>
      <c r="U211" s="14">
        <f>IF(AND(A211&gt;Drivers!C19,A211&lt;=(Drivers!C19+Drivers!C20)),Summary!C31*D211,0)</f>
        <v>0</v>
      </c>
      <c r="V211" s="14">
        <f>IF(A211&lt;=(Drivers!C19+Drivers!C20),(T211+U211/2)*Drivers!C36/12,T211*Drivers!C36/12)</f>
        <v>1790.604145</v>
      </c>
      <c r="W211" s="14">
        <f>IF(A211&gt;(Drivers!C19+Drivers!C20),MIN(T211,MAX(0,Summary!C32/12-V211)),0)</f>
        <v>12534.58298</v>
      </c>
      <c r="X211" s="14">
        <f>IF(A211=(Drivers!C19+1),Summary!C31*Drivers!C38,0)</f>
        <v>0</v>
      </c>
      <c r="Y211" s="14">
        <f t="shared" si="3"/>
        <v>174311.0669</v>
      </c>
      <c r="Z211" s="14">
        <f t="shared" si="4"/>
        <v>30278.28189</v>
      </c>
      <c r="AA211" s="14">
        <f t="shared" si="7"/>
        <v>-108195129</v>
      </c>
      <c r="AB211" s="14">
        <f t="shared" si="5"/>
        <v>44603.46902</v>
      </c>
      <c r="AC211" s="14">
        <f>(E211+F211+G211+H211)*Drivers!C45</f>
        <v>0</v>
      </c>
      <c r="AD211" s="14">
        <f>IF(A211&lt;=Summary!C18,AB211+IF(A211=Summary!C18,Summary!C40,0),0)</f>
        <v>0</v>
      </c>
      <c r="AE211" s="14">
        <f>IF(A211&lt;=Summary!C18,Z211+IF(A211=Summary!C18,Summary!C40-Y211,0),0)</f>
        <v>0</v>
      </c>
      <c r="AF211" s="14">
        <f>AD211-IF(A211=0,Drivers!C44,0)</f>
        <v>0</v>
      </c>
      <c r="AG211" s="14">
        <f t="shared" si="8"/>
        <v>-106904934.9</v>
      </c>
    </row>
    <row r="212">
      <c r="A212" s="2">
        <v>210.0</v>
      </c>
      <c r="B212" s="15">
        <f>EDATE(Setup!B2,A212)</f>
        <v>52670</v>
      </c>
      <c r="C212" s="2" t="str">
        <f>IF(A212=0,"T0",IF(A212&lt;=Drivers!C19,"Preconstruction",IF(A212&lt;=(Drivers!C19+Drivers!C20),"Construction","Trading")))</f>
        <v>Trading</v>
      </c>
      <c r="D212" s="12">
        <f t="array" ref="D212">IF(AND(A212&gt;Drivers!C19,A212&lt;=(Drivers!C19+Drivers!C20)),SIN(PI()*(A212-Drivers!C19-0.5)/Drivers!C20)/SUMPRODUCT(SIN(PI()*(SEQUENCE(Drivers!C20,1)-0.5)/Drivers!C20)),0)</f>
        <v>0</v>
      </c>
      <c r="E212" s="14">
        <f>(Summary!C10+Summary!C12)*D212*(1+Drivers!C21)^(A212/12)</f>
        <v>0</v>
      </c>
      <c r="F212" s="14">
        <f>IF(AND(A212&gt;0,A212&lt;=Drivers!C19),Summary!C11*Drivers!C40/Drivers!C19*(1+Drivers!C21)^(A212/12),Summary!C11*(1-Drivers!C40 )*D212*(1+Drivers!C21)^(A212/12))</f>
        <v>0</v>
      </c>
      <c r="G212" s="14">
        <f>IF(AND(A212&gt;0,A212&lt;=2),Drivers!C16/2,0)</f>
        <v>0</v>
      </c>
      <c r="H212" s="14">
        <f>IF(A212=(Drivers!C19+Drivers!C20),Drivers!C17*(1+Drivers!C21)^(A212/12),0)</f>
        <v>0</v>
      </c>
      <c r="I212" s="14">
        <f>IF(AND(A212&gt;0,A212&lt;=(Drivers!C19+Drivers!C20)),Drivers!C18*(1+Drivers!C23)^(A212/12),0)</f>
        <v>0</v>
      </c>
      <c r="J212" s="14">
        <f t="shared" si="1"/>
        <v>0</v>
      </c>
      <c r="K212" s="12">
        <f>IF(A212&gt;(Drivers!C19+Drivers!C20),MIN(1,0.5+0.5*(A212-(Drivers!C19+Drivers!C20))/Drivers!C39),0)</f>
        <v>1</v>
      </c>
      <c r="L212" s="14">
        <f>Drivers!C2*(B212-B211)*Drivers!C24*(1+Drivers!C22)^(A212/12)*Drivers!C25*K212</f>
        <v>933246.6726</v>
      </c>
      <c r="M212" s="14">
        <f>L212*Drivers!C26</f>
        <v>186649.3345</v>
      </c>
      <c r="N212" s="14">
        <f>(L212+M212)*Drivers!C27</f>
        <v>391963.6025</v>
      </c>
      <c r="O212" s="14">
        <f>IF(A212&gt;(Drivers!C19+Drivers!C20),Drivers!C28/12*(1+Drivers!C23)^(A212/12),0)</f>
        <v>662158.8425</v>
      </c>
      <c r="P212" s="14">
        <f>(L212+M212)*Drivers!C29</f>
        <v>44795.84029</v>
      </c>
      <c r="Q212" s="14">
        <f>Drivers!C3*Drivers!C30*(1+Drivers!C22)^(A212/12)*Drivers!C31*(1-Drivers!C32 )*K212</f>
        <v>75982.72718</v>
      </c>
      <c r="R212" s="14">
        <f>IF(A212&gt;(Drivers!C19+Drivers!C20),Drivers!C33/12*(1+Drivers!C23)^(A212/12),0)</f>
        <v>99323.82637</v>
      </c>
      <c r="S212" s="14">
        <f t="shared" si="2"/>
        <v>-2363.377341</v>
      </c>
      <c r="T212" s="14">
        <f t="shared" si="6"/>
        <v>174311.0669</v>
      </c>
      <c r="U212" s="14">
        <f>IF(AND(A212&gt;Drivers!C19,A212&lt;=(Drivers!C19+Drivers!C20)),Summary!C31*D212,0)</f>
        <v>0</v>
      </c>
      <c r="V212" s="14">
        <f>IF(A212&lt;=(Drivers!C19+Drivers!C20),(T212+U212/2)*Drivers!C36/12,T212*Drivers!C36/12)</f>
        <v>1670.481058</v>
      </c>
      <c r="W212" s="14">
        <f>IF(A212&gt;(Drivers!C19+Drivers!C20),MIN(T212,MAX(0,Summary!C32/12-V212)),0)</f>
        <v>12654.70607</v>
      </c>
      <c r="X212" s="14">
        <f>IF(A212=(Drivers!C19+1),Summary!C31*Drivers!C38,0)</f>
        <v>0</v>
      </c>
      <c r="Y212" s="14">
        <f t="shared" si="3"/>
        <v>161656.3608</v>
      </c>
      <c r="Z212" s="14">
        <f t="shared" si="4"/>
        <v>-16688.56446</v>
      </c>
      <c r="AA212" s="14">
        <f t="shared" si="7"/>
        <v>-108211817.5</v>
      </c>
      <c r="AB212" s="14">
        <f t="shared" si="5"/>
        <v>-2363.377341</v>
      </c>
      <c r="AC212" s="14">
        <f>(E212+F212+G212+H212)*Drivers!C45</f>
        <v>0</v>
      </c>
      <c r="AD212" s="14">
        <f>IF(A212&lt;=Summary!C18,AB212+IF(A212=Summary!C18,Summary!C40,0),0)</f>
        <v>0</v>
      </c>
      <c r="AE212" s="14">
        <f>IF(A212&lt;=Summary!C18,Z212+IF(A212=Summary!C18,Summary!C40-Y212,0),0)</f>
        <v>0</v>
      </c>
      <c r="AF212" s="14">
        <f>AD212-IF(A212=0,Drivers!C44,0)</f>
        <v>0</v>
      </c>
      <c r="AG212" s="14">
        <f t="shared" si="8"/>
        <v>-106907298.2</v>
      </c>
    </row>
    <row r="213">
      <c r="A213" s="2">
        <v>211.0</v>
      </c>
      <c r="B213" s="15">
        <f>EDATE(Setup!B2,A213)</f>
        <v>52701</v>
      </c>
      <c r="C213" s="2" t="str">
        <f>IF(A213=0,"T0",IF(A213&lt;=Drivers!C19,"Preconstruction",IF(A213&lt;=(Drivers!C19+Drivers!C20),"Construction","Trading")))</f>
        <v>Trading</v>
      </c>
      <c r="D213" s="12">
        <f t="array" ref="D213">IF(AND(A213&gt;Drivers!C19,A213&lt;=(Drivers!C19+Drivers!C20)),SIN(PI()*(A213-Drivers!C19-0.5)/Drivers!C20)/SUMPRODUCT(SIN(PI()*(SEQUENCE(Drivers!C20,1)-0.5)/Drivers!C20)),0)</f>
        <v>0</v>
      </c>
      <c r="E213" s="14">
        <f>(Summary!C10+Summary!C12)*D213*(1+Drivers!C21)^(A213/12)</f>
        <v>0</v>
      </c>
      <c r="F213" s="14">
        <f>IF(AND(A213&gt;0,A213&lt;=Drivers!C19),Summary!C11*Drivers!C40/Drivers!C19*(1+Drivers!C21)^(A213/12),Summary!C11*(1-Drivers!C40 )*D213*(1+Drivers!C21)^(A213/12))</f>
        <v>0</v>
      </c>
      <c r="G213" s="14">
        <f>IF(AND(A213&gt;0,A213&lt;=2),Drivers!C16/2,0)</f>
        <v>0</v>
      </c>
      <c r="H213" s="14">
        <f>IF(A213=(Drivers!C19+Drivers!C20),Drivers!C17*(1+Drivers!C21)^(A213/12),0)</f>
        <v>0</v>
      </c>
      <c r="I213" s="14">
        <f>IF(AND(A213&gt;0,A213&lt;=(Drivers!C19+Drivers!C20)),Drivers!C18*(1+Drivers!C23)^(A213/12),0)</f>
        <v>0</v>
      </c>
      <c r="J213" s="14">
        <f t="shared" si="1"/>
        <v>0</v>
      </c>
      <c r="K213" s="12">
        <f>IF(A213&gt;(Drivers!C19+Drivers!C20),MIN(1,0.5+0.5*(A213-(Drivers!C19+Drivers!C20))/Drivers!C39),0)</f>
        <v>1</v>
      </c>
      <c r="L213" s="14">
        <f>Drivers!C2*(B213-B212)*Drivers!C24*(1+Drivers!C22)^(A213/12)*Drivers!C25*K213</f>
        <v>1000874.423</v>
      </c>
      <c r="M213" s="14">
        <f>L213*Drivers!C26</f>
        <v>200174.8846</v>
      </c>
      <c r="N213" s="14">
        <f>(L213+M213)*Drivers!C27</f>
        <v>420367.2576</v>
      </c>
      <c r="O213" s="14">
        <f>IF(A213&gt;(Drivers!C19+Drivers!C20),Drivers!C28/12*(1+Drivers!C23)^(A213/12),0)</f>
        <v>664326.5782</v>
      </c>
      <c r="P213" s="14">
        <f>(L213+M213)*Drivers!C29</f>
        <v>48041.97229</v>
      </c>
      <c r="Q213" s="14">
        <f>Drivers!C3*Drivers!C30*(1+Drivers!C22)^(A213/12)*Drivers!C31*(1-Drivers!C32 )*K213</f>
        <v>76231.47485</v>
      </c>
      <c r="R213" s="14">
        <f>IF(A213&gt;(Drivers!C19+Drivers!C20),Drivers!C33/12*(1+Drivers!C23)^(A213/12),0)</f>
        <v>99648.98674</v>
      </c>
      <c r="S213" s="14">
        <f t="shared" si="2"/>
        <v>44895.98735</v>
      </c>
      <c r="T213" s="14">
        <f t="shared" si="6"/>
        <v>161656.3608</v>
      </c>
      <c r="U213" s="14">
        <f>IF(AND(A213&gt;Drivers!C19,A213&lt;=(Drivers!C19+Drivers!C20)),Summary!C31*D213,0)</f>
        <v>0</v>
      </c>
      <c r="V213" s="14">
        <f>IF(A213&lt;=(Drivers!C19+Drivers!C20),(T213+U213/2)*Drivers!C36/12,T213*Drivers!C36/12)</f>
        <v>1549.206791</v>
      </c>
      <c r="W213" s="14">
        <f>IF(A213&gt;(Drivers!C19+Drivers!C20),MIN(T213,MAX(0,Summary!C32/12-V213)),0)</f>
        <v>12775.98033</v>
      </c>
      <c r="X213" s="14">
        <f>IF(A213=(Drivers!C19+1),Summary!C31*Drivers!C38,0)</f>
        <v>0</v>
      </c>
      <c r="Y213" s="14">
        <f t="shared" si="3"/>
        <v>148880.3805</v>
      </c>
      <c r="Z213" s="14">
        <f t="shared" si="4"/>
        <v>30570.80023</v>
      </c>
      <c r="AA213" s="14">
        <f t="shared" si="7"/>
        <v>-108181246.7</v>
      </c>
      <c r="AB213" s="14">
        <f t="shared" si="5"/>
        <v>44895.98735</v>
      </c>
      <c r="AC213" s="14">
        <f>(E213+F213+G213+H213)*Drivers!C45</f>
        <v>0</v>
      </c>
      <c r="AD213" s="14">
        <f>IF(A213&lt;=Summary!C18,AB213+IF(A213=Summary!C18,Summary!C40,0),0)</f>
        <v>0</v>
      </c>
      <c r="AE213" s="14">
        <f>IF(A213&lt;=Summary!C18,Z213+IF(A213=Summary!C18,Summary!C40-Y213,0),0)</f>
        <v>0</v>
      </c>
      <c r="AF213" s="14">
        <f>AD213-IF(A213=0,Drivers!C44,0)</f>
        <v>0</v>
      </c>
      <c r="AG213" s="14">
        <f t="shared" si="8"/>
        <v>-106862402.3</v>
      </c>
    </row>
    <row r="214">
      <c r="A214" s="2">
        <v>212.0</v>
      </c>
      <c r="B214" s="15">
        <f>EDATE(Setup!B2,A214)</f>
        <v>52731</v>
      </c>
      <c r="C214" s="2" t="str">
        <f>IF(A214=0,"T0",IF(A214&lt;=Drivers!C19,"Preconstruction",IF(A214&lt;=(Drivers!C19+Drivers!C20),"Construction","Trading")))</f>
        <v>Trading</v>
      </c>
      <c r="D214" s="12">
        <f t="array" ref="D214">IF(AND(A214&gt;Drivers!C19,A214&lt;=(Drivers!C19+Drivers!C20)),SIN(PI()*(A214-Drivers!C19-0.5)/Drivers!C20)/SUMPRODUCT(SIN(PI()*(SEQUENCE(Drivers!C20,1)-0.5)/Drivers!C20)),0)</f>
        <v>0</v>
      </c>
      <c r="E214" s="14">
        <f>(Summary!C10+Summary!C12)*D214*(1+Drivers!C21)^(A214/12)</f>
        <v>0</v>
      </c>
      <c r="F214" s="14">
        <f>IF(AND(A214&gt;0,A214&lt;=Drivers!C19),Summary!C11*Drivers!C40/Drivers!C19*(1+Drivers!C21)^(A214/12),Summary!C11*(1-Drivers!C40 )*D214*(1+Drivers!C21)^(A214/12))</f>
        <v>0</v>
      </c>
      <c r="G214" s="14">
        <f>IF(AND(A214&gt;0,A214&lt;=2),Drivers!C16/2,0)</f>
        <v>0</v>
      </c>
      <c r="H214" s="14">
        <f>IF(A214=(Drivers!C19+Drivers!C20),Drivers!C17*(1+Drivers!C21)^(A214/12),0)</f>
        <v>0</v>
      </c>
      <c r="I214" s="14">
        <f>IF(AND(A214&gt;0,A214&lt;=(Drivers!C19+Drivers!C20)),Drivers!C18*(1+Drivers!C23)^(A214/12),0)</f>
        <v>0</v>
      </c>
      <c r="J214" s="14">
        <f t="shared" si="1"/>
        <v>0</v>
      </c>
      <c r="K214" s="12">
        <f>IF(A214&gt;(Drivers!C19+Drivers!C20),MIN(1,0.5+0.5*(A214-(Drivers!C19+Drivers!C20))/Drivers!C39),0)</f>
        <v>1</v>
      </c>
      <c r="L214" s="14">
        <f>Drivers!C2*(B214-B213)*Drivers!C24*(1+Drivers!C22)^(A214/12)*Drivers!C25*K214</f>
        <v>971759.0566</v>
      </c>
      <c r="M214" s="14">
        <f>L214*Drivers!C26</f>
        <v>194351.8113</v>
      </c>
      <c r="N214" s="14">
        <f>(L214+M214)*Drivers!C27</f>
        <v>408138.8038</v>
      </c>
      <c r="O214" s="14">
        <f>IF(A214&gt;(Drivers!C19+Drivers!C20),Drivers!C28/12*(1+Drivers!C23)^(A214/12),0)</f>
        <v>666501.4106</v>
      </c>
      <c r="P214" s="14">
        <f>(L214+M214)*Drivers!C29</f>
        <v>46644.43472</v>
      </c>
      <c r="Q214" s="14">
        <f>Drivers!C3*Drivers!C30*(1+Drivers!C22)^(A214/12)*Drivers!C31*(1-Drivers!C32 )*K214</f>
        <v>76481.03686</v>
      </c>
      <c r="R214" s="14">
        <f>IF(A214&gt;(Drivers!C19+Drivers!C20),Drivers!C33/12*(1+Drivers!C23)^(A214/12),0)</f>
        <v>99975.21159</v>
      </c>
      <c r="S214" s="14">
        <f t="shared" si="2"/>
        <v>21332.04415</v>
      </c>
      <c r="T214" s="14">
        <f t="shared" si="6"/>
        <v>148880.3805</v>
      </c>
      <c r="U214" s="14">
        <f>IF(AND(A214&gt;Drivers!C19,A214&lt;=(Drivers!C19+Drivers!C20)),Summary!C31*D214,0)</f>
        <v>0</v>
      </c>
      <c r="V214" s="14">
        <f>IF(A214&lt;=(Drivers!C19+Drivers!C20),(T214+U214/2)*Drivers!C36/12,T214*Drivers!C36/12)</f>
        <v>1426.770313</v>
      </c>
      <c r="W214" s="14">
        <f>IF(A214&gt;(Drivers!C19+Drivers!C20),MIN(T214,MAX(0,Summary!C32/12-V214)),0)</f>
        <v>12898.41681</v>
      </c>
      <c r="X214" s="14">
        <f>IF(A214=(Drivers!C19+1),Summary!C31*Drivers!C38,0)</f>
        <v>0</v>
      </c>
      <c r="Y214" s="14">
        <f t="shared" si="3"/>
        <v>135981.9637</v>
      </c>
      <c r="Z214" s="14">
        <f t="shared" si="4"/>
        <v>7006.857024</v>
      </c>
      <c r="AA214" s="14">
        <f t="shared" si="7"/>
        <v>-108174239.9</v>
      </c>
      <c r="AB214" s="14">
        <f t="shared" si="5"/>
        <v>21332.04415</v>
      </c>
      <c r="AC214" s="14">
        <f>(E214+F214+G214+H214)*Drivers!C45</f>
        <v>0</v>
      </c>
      <c r="AD214" s="14">
        <f>IF(A214&lt;=Summary!C18,AB214+IF(A214=Summary!C18,Summary!C40,0),0)</f>
        <v>0</v>
      </c>
      <c r="AE214" s="14">
        <f>IF(A214&lt;=Summary!C18,Z214+IF(A214=Summary!C18,Summary!C40-Y214,0),0)</f>
        <v>0</v>
      </c>
      <c r="AF214" s="14">
        <f>AD214-IF(A214=0,Drivers!C44,0)</f>
        <v>0</v>
      </c>
      <c r="AG214" s="14">
        <f t="shared" si="8"/>
        <v>-106841070.2</v>
      </c>
    </row>
    <row r="215">
      <c r="A215" s="2">
        <v>213.0</v>
      </c>
      <c r="B215" s="15">
        <f>EDATE(Setup!B2,A215)</f>
        <v>52762</v>
      </c>
      <c r="C215" s="2" t="str">
        <f>IF(A215=0,"T0",IF(A215&lt;=Drivers!C19,"Preconstruction",IF(A215&lt;=(Drivers!C19+Drivers!C20),"Construction","Trading")))</f>
        <v>Trading</v>
      </c>
      <c r="D215" s="12">
        <f t="array" ref="D215">IF(AND(A215&gt;Drivers!C19,A215&lt;=(Drivers!C19+Drivers!C20)),SIN(PI()*(A215-Drivers!C19-0.5)/Drivers!C20)/SUMPRODUCT(SIN(PI()*(SEQUENCE(Drivers!C20,1)-0.5)/Drivers!C20)),0)</f>
        <v>0</v>
      </c>
      <c r="E215" s="14">
        <f>(Summary!C10+Summary!C12)*D215*(1+Drivers!C21)^(A215/12)</f>
        <v>0</v>
      </c>
      <c r="F215" s="14">
        <f>IF(AND(A215&gt;0,A215&lt;=Drivers!C19),Summary!C11*Drivers!C40/Drivers!C19*(1+Drivers!C21)^(A215/12),Summary!C11*(1-Drivers!C40 )*D215*(1+Drivers!C21)^(A215/12))</f>
        <v>0</v>
      </c>
      <c r="G215" s="14">
        <f>IF(AND(A215&gt;0,A215&lt;=2),Drivers!C16/2,0)</f>
        <v>0</v>
      </c>
      <c r="H215" s="14">
        <f>IF(A215=(Drivers!C19+Drivers!C20),Drivers!C17*(1+Drivers!C21)^(A215/12),0)</f>
        <v>0</v>
      </c>
      <c r="I215" s="14">
        <f>IF(AND(A215&gt;0,A215&lt;=(Drivers!C19+Drivers!C20)),Drivers!C18*(1+Drivers!C23)^(A215/12),0)</f>
        <v>0</v>
      </c>
      <c r="J215" s="14">
        <f t="shared" si="1"/>
        <v>0</v>
      </c>
      <c r="K215" s="12">
        <f>IF(A215&gt;(Drivers!C19+Drivers!C20),MIN(1,0.5+0.5*(A215-(Drivers!C19+Drivers!C20))/Drivers!C39),0)</f>
        <v>1</v>
      </c>
      <c r="L215" s="14">
        <f>Drivers!C2*(B215-B214)*Drivers!C24*(1+Drivers!C22)^(A215/12)*Drivers!C25*K215</f>
        <v>1007438.354</v>
      </c>
      <c r="M215" s="14">
        <f>L215*Drivers!C26</f>
        <v>201487.6709</v>
      </c>
      <c r="N215" s="14">
        <f>(L215+M215)*Drivers!C27</f>
        <v>423124.1088</v>
      </c>
      <c r="O215" s="14">
        <f>IF(A215&gt;(Drivers!C19+Drivers!C20),Drivers!C28/12*(1+Drivers!C23)^(A215/12),0)</f>
        <v>668683.3628</v>
      </c>
      <c r="P215" s="14">
        <f>(L215+M215)*Drivers!C29</f>
        <v>48357.04101</v>
      </c>
      <c r="Q215" s="14">
        <f>Drivers!C3*Drivers!C30*(1+Drivers!C22)^(A215/12)*Drivers!C31*(1-Drivers!C32 )*K215</f>
        <v>76731.41588</v>
      </c>
      <c r="R215" s="14">
        <f>IF(A215&gt;(Drivers!C19+Drivers!C20),Drivers!C33/12*(1+Drivers!C23)^(A215/12),0)</f>
        <v>100302.5044</v>
      </c>
      <c r="S215" s="14">
        <f t="shared" si="2"/>
        <v>45190.42408</v>
      </c>
      <c r="T215" s="14">
        <f t="shared" si="6"/>
        <v>135981.9637</v>
      </c>
      <c r="U215" s="14">
        <f>IF(AND(A215&gt;Drivers!C19,A215&lt;=(Drivers!C19+Drivers!C20)),Summary!C31*D215,0)</f>
        <v>0</v>
      </c>
      <c r="V215" s="14">
        <f>IF(A215&lt;=(Drivers!C19+Drivers!C20),(T215+U215/2)*Drivers!C36/12,T215*Drivers!C36/12)</f>
        <v>1303.160485</v>
      </c>
      <c r="W215" s="14">
        <f>IF(A215&gt;(Drivers!C19+Drivers!C20),MIN(T215,MAX(0,Summary!C32/12-V215)),0)</f>
        <v>13022.02664</v>
      </c>
      <c r="X215" s="14">
        <f>IF(A215=(Drivers!C19+1),Summary!C31*Drivers!C38,0)</f>
        <v>0</v>
      </c>
      <c r="Y215" s="14">
        <f t="shared" si="3"/>
        <v>122959.9371</v>
      </c>
      <c r="Z215" s="14">
        <f t="shared" si="4"/>
        <v>30865.23695</v>
      </c>
      <c r="AA215" s="14">
        <f t="shared" si="7"/>
        <v>-108143374.6</v>
      </c>
      <c r="AB215" s="14">
        <f t="shared" si="5"/>
        <v>45190.42408</v>
      </c>
      <c r="AC215" s="14">
        <f>(E215+F215+G215+H215)*Drivers!C45</f>
        <v>0</v>
      </c>
      <c r="AD215" s="14">
        <f>IF(A215&lt;=Summary!C18,AB215+IF(A215=Summary!C18,Summary!C40,0),0)</f>
        <v>0</v>
      </c>
      <c r="AE215" s="14">
        <f>IF(A215&lt;=Summary!C18,Z215+IF(A215=Summary!C18,Summary!C40-Y215,0),0)</f>
        <v>0</v>
      </c>
      <c r="AF215" s="14">
        <f>AD215-IF(A215=0,Drivers!C44,0)</f>
        <v>0</v>
      </c>
      <c r="AG215" s="14">
        <f t="shared" si="8"/>
        <v>-106795879.8</v>
      </c>
    </row>
    <row r="216">
      <c r="A216" s="2">
        <v>214.0</v>
      </c>
      <c r="B216" s="15">
        <f>EDATE(Setup!B2,A216)</f>
        <v>52792</v>
      </c>
      <c r="C216" s="2" t="str">
        <f>IF(A216=0,"T0",IF(A216&lt;=Drivers!C19,"Preconstruction",IF(A216&lt;=(Drivers!C19+Drivers!C20),"Construction","Trading")))</f>
        <v>Trading</v>
      </c>
      <c r="D216" s="12">
        <f t="array" ref="D216">IF(AND(A216&gt;Drivers!C19,A216&lt;=(Drivers!C19+Drivers!C20)),SIN(PI()*(A216-Drivers!C19-0.5)/Drivers!C20)/SUMPRODUCT(SIN(PI()*(SEQUENCE(Drivers!C20,1)-0.5)/Drivers!C20)),0)</f>
        <v>0</v>
      </c>
      <c r="E216" s="14">
        <f>(Summary!C10+Summary!C12)*D216*(1+Drivers!C21)^(A216/12)</f>
        <v>0</v>
      </c>
      <c r="F216" s="14">
        <f>IF(AND(A216&gt;0,A216&lt;=Drivers!C19),Summary!C11*Drivers!C40/Drivers!C19*(1+Drivers!C21)^(A216/12),Summary!C11*(1-Drivers!C40 )*D216*(1+Drivers!C21)^(A216/12))</f>
        <v>0</v>
      </c>
      <c r="G216" s="14">
        <f>IF(AND(A216&gt;0,A216&lt;=2),Drivers!C16/2,0)</f>
        <v>0</v>
      </c>
      <c r="H216" s="14">
        <f>IF(A216=(Drivers!C19+Drivers!C20),Drivers!C17*(1+Drivers!C21)^(A216/12),0)</f>
        <v>0</v>
      </c>
      <c r="I216" s="14">
        <f>IF(AND(A216&gt;0,A216&lt;=(Drivers!C19+Drivers!C20)),Drivers!C18*(1+Drivers!C23)^(A216/12),0)</f>
        <v>0</v>
      </c>
      <c r="J216" s="14">
        <f t="shared" si="1"/>
        <v>0</v>
      </c>
      <c r="K216" s="12">
        <f>IF(A216&gt;(Drivers!C19+Drivers!C20),MIN(1,0.5+0.5*(A216-(Drivers!C19+Drivers!C20))/Drivers!C39),0)</f>
        <v>1</v>
      </c>
      <c r="L216" s="14">
        <f>Drivers!C2*(B216-B215)*Drivers!C24*(1+Drivers!C22)^(A216/12)*Drivers!C25*K216</f>
        <v>978132.0439</v>
      </c>
      <c r="M216" s="14">
        <f>L216*Drivers!C26</f>
        <v>195626.4088</v>
      </c>
      <c r="N216" s="14">
        <f>(L216+M216)*Drivers!C27</f>
        <v>410815.4584</v>
      </c>
      <c r="O216" s="14">
        <f>IF(A216&gt;(Drivers!C19+Drivers!C20),Drivers!C28/12*(1+Drivers!C23)^(A216/12),0)</f>
        <v>670872.4581</v>
      </c>
      <c r="P216" s="14">
        <f>(L216+M216)*Drivers!C29</f>
        <v>46950.33811</v>
      </c>
      <c r="Q216" s="14">
        <f>Drivers!C3*Drivers!C30*(1+Drivers!C22)^(A216/12)*Drivers!C31*(1-Drivers!C32 )*K216</f>
        <v>76982.61457</v>
      </c>
      <c r="R216" s="14">
        <f>IF(A216&gt;(Drivers!C19+Drivers!C20),Drivers!C33/12*(1+Drivers!C23)^(A216/12),0)</f>
        <v>100630.8687</v>
      </c>
      <c r="S216" s="14">
        <f t="shared" si="2"/>
        <v>21471.94389</v>
      </c>
      <c r="T216" s="14">
        <f t="shared" si="6"/>
        <v>122959.9371</v>
      </c>
      <c r="U216" s="14">
        <f>IF(AND(A216&gt;Drivers!C19,A216&lt;=(Drivers!C19+Drivers!C20)),Summary!C31*D216,0)</f>
        <v>0</v>
      </c>
      <c r="V216" s="14">
        <f>IF(A216&lt;=(Drivers!C19+Drivers!C20),(T216+U216/2)*Drivers!C36/12,T216*Drivers!C36/12)</f>
        <v>1178.366063</v>
      </c>
      <c r="W216" s="14">
        <f>IF(A216&gt;(Drivers!C19+Drivers!C20),MIN(T216,MAX(0,Summary!C32/12-V216)),0)</f>
        <v>13146.82106</v>
      </c>
      <c r="X216" s="14">
        <f>IF(A216=(Drivers!C19+1),Summary!C31*Drivers!C38,0)</f>
        <v>0</v>
      </c>
      <c r="Y216" s="14">
        <f t="shared" si="3"/>
        <v>109813.116</v>
      </c>
      <c r="Z216" s="14">
        <f t="shared" si="4"/>
        <v>7146.756771</v>
      </c>
      <c r="AA216" s="14">
        <f t="shared" si="7"/>
        <v>-108136227.9</v>
      </c>
      <c r="AB216" s="14">
        <f t="shared" si="5"/>
        <v>21471.94389</v>
      </c>
      <c r="AC216" s="14">
        <f>(E216+F216+G216+H216)*Drivers!C45</f>
        <v>0</v>
      </c>
      <c r="AD216" s="14">
        <f>IF(A216&lt;=Summary!C18,AB216+IF(A216=Summary!C18,Summary!C40,0),0)</f>
        <v>0</v>
      </c>
      <c r="AE216" s="14">
        <f>IF(A216&lt;=Summary!C18,Z216+IF(A216=Summary!C18,Summary!C40-Y216,0),0)</f>
        <v>0</v>
      </c>
      <c r="AF216" s="14">
        <f>AD216-IF(A216=0,Drivers!C44,0)</f>
        <v>0</v>
      </c>
      <c r="AG216" s="14">
        <f t="shared" si="8"/>
        <v>-106774407.8</v>
      </c>
    </row>
    <row r="217">
      <c r="A217" s="2">
        <v>215.0</v>
      </c>
      <c r="B217" s="15">
        <f>EDATE(Setup!B2,A217)</f>
        <v>52823</v>
      </c>
      <c r="C217" s="2" t="str">
        <f>IF(A217=0,"T0",IF(A217&lt;=Drivers!C19,"Preconstruction",IF(A217&lt;=(Drivers!C19+Drivers!C20),"Construction","Trading")))</f>
        <v>Trading</v>
      </c>
      <c r="D217" s="12">
        <f t="array" ref="D217">IF(AND(A217&gt;Drivers!C19,A217&lt;=(Drivers!C19+Drivers!C20)),SIN(PI()*(A217-Drivers!C19-0.5)/Drivers!C20)/SUMPRODUCT(SIN(PI()*(SEQUENCE(Drivers!C20,1)-0.5)/Drivers!C20)),0)</f>
        <v>0</v>
      </c>
      <c r="E217" s="14">
        <f>(Summary!C10+Summary!C12)*D217*(1+Drivers!C21)^(A217/12)</f>
        <v>0</v>
      </c>
      <c r="F217" s="14">
        <f>IF(AND(A217&gt;0,A217&lt;=Drivers!C19),Summary!C11*Drivers!C40/Drivers!C19*(1+Drivers!C21)^(A217/12),Summary!C11*(1-Drivers!C40 )*D217*(1+Drivers!C21)^(A217/12))</f>
        <v>0</v>
      </c>
      <c r="G217" s="14">
        <f>IF(AND(A217&gt;0,A217&lt;=2),Drivers!C16/2,0)</f>
        <v>0</v>
      </c>
      <c r="H217" s="14">
        <f>IF(A217=(Drivers!C19+Drivers!C20),Drivers!C17*(1+Drivers!C21)^(A217/12),0)</f>
        <v>0</v>
      </c>
      <c r="I217" s="14">
        <f>IF(AND(A217&gt;0,A217&lt;=(Drivers!C19+Drivers!C20)),Drivers!C18*(1+Drivers!C23)^(A217/12),0)</f>
        <v>0</v>
      </c>
      <c r="J217" s="14">
        <f t="shared" si="1"/>
        <v>0</v>
      </c>
      <c r="K217" s="12">
        <f>IF(A217&gt;(Drivers!C19+Drivers!C20),MIN(1,0.5+0.5*(A217-(Drivers!C19+Drivers!C20))/Drivers!C39),0)</f>
        <v>1</v>
      </c>
      <c r="L217" s="14">
        <f>Drivers!C2*(B217-B216)*Drivers!C24*(1+Drivers!C22)^(A217/12)*Drivers!C25*K217</f>
        <v>1014045.333</v>
      </c>
      <c r="M217" s="14">
        <f>L217*Drivers!C26</f>
        <v>202809.0667</v>
      </c>
      <c r="N217" s="14">
        <f>(L217+M217)*Drivers!C27</f>
        <v>425899.0401</v>
      </c>
      <c r="O217" s="14">
        <f>IF(A217&gt;(Drivers!C19+Drivers!C20),Drivers!C28/12*(1+Drivers!C23)^(A217/12),0)</f>
        <v>673068.7199</v>
      </c>
      <c r="P217" s="14">
        <f>(L217+M217)*Drivers!C29</f>
        <v>48674.17601</v>
      </c>
      <c r="Q217" s="14">
        <f>Drivers!C3*Drivers!C30*(1+Drivers!C22)^(A217/12)*Drivers!C31*(1-Drivers!C32 )*K217</f>
        <v>77234.63561</v>
      </c>
      <c r="R217" s="14">
        <f>IF(A217&gt;(Drivers!C19+Drivers!C20),Drivers!C33/12*(1+Drivers!C23)^(A217/12),0)</f>
        <v>100960.308</v>
      </c>
      <c r="S217" s="14">
        <f t="shared" si="2"/>
        <v>45486.79178</v>
      </c>
      <c r="T217" s="14">
        <f t="shared" si="6"/>
        <v>109813.116</v>
      </c>
      <c r="U217" s="14">
        <f>IF(AND(A217&gt;Drivers!C19,A217&lt;=(Drivers!C19+Drivers!C20)),Summary!C31*D217,0)</f>
        <v>0</v>
      </c>
      <c r="V217" s="14">
        <f>IF(A217&lt;=(Drivers!C19+Drivers!C20),(T217+U217/2)*Drivers!C36/12,T217*Drivers!C36/12)</f>
        <v>1052.375695</v>
      </c>
      <c r="W217" s="14">
        <f>IF(A217&gt;(Drivers!C19+Drivers!C20),MIN(T217,MAX(0,Summary!C32/12-V217)),0)</f>
        <v>13272.81143</v>
      </c>
      <c r="X217" s="14">
        <f>IF(A217=(Drivers!C19+1),Summary!C31*Drivers!C38,0)</f>
        <v>0</v>
      </c>
      <c r="Y217" s="14">
        <f t="shared" si="3"/>
        <v>96540.30457</v>
      </c>
      <c r="Z217" s="14">
        <f t="shared" si="4"/>
        <v>31161.60465</v>
      </c>
      <c r="AA217" s="14">
        <f t="shared" si="7"/>
        <v>-108105066.3</v>
      </c>
      <c r="AB217" s="14">
        <f t="shared" si="5"/>
        <v>45486.79178</v>
      </c>
      <c r="AC217" s="14">
        <f>(E217+F217+G217+H217)*Drivers!C45</f>
        <v>0</v>
      </c>
      <c r="AD217" s="14">
        <f>IF(A217&lt;=Summary!C18,AB217+IF(A217=Summary!C18,Summary!C40,0),0)</f>
        <v>0</v>
      </c>
      <c r="AE217" s="14">
        <f>IF(A217&lt;=Summary!C18,Z217+IF(A217=Summary!C18,Summary!C40-Y217,0),0)</f>
        <v>0</v>
      </c>
      <c r="AF217" s="14">
        <f>AD217-IF(A217=0,Drivers!C44,0)</f>
        <v>0</v>
      </c>
      <c r="AG217" s="14">
        <f t="shared" si="8"/>
        <v>-106728921.1</v>
      </c>
    </row>
    <row r="218">
      <c r="A218" s="2">
        <v>216.0</v>
      </c>
      <c r="B218" s="15">
        <f>EDATE(Setup!B2,A218)</f>
        <v>52854</v>
      </c>
      <c r="C218" s="2" t="str">
        <f>IF(A218=0,"T0",IF(A218&lt;=Drivers!C19,"Preconstruction",IF(A218&lt;=(Drivers!C19+Drivers!C20),"Construction","Trading")))</f>
        <v>Trading</v>
      </c>
      <c r="D218" s="12">
        <f t="array" ref="D218">IF(AND(A218&gt;Drivers!C19,A218&lt;=(Drivers!C19+Drivers!C20)),SIN(PI()*(A218-Drivers!C19-0.5)/Drivers!C20)/SUMPRODUCT(SIN(PI()*(SEQUENCE(Drivers!C20,1)-0.5)/Drivers!C20)),0)</f>
        <v>0</v>
      </c>
      <c r="E218" s="14">
        <f>(Summary!C10+Summary!C12)*D218*(1+Drivers!C21)^(A218/12)</f>
        <v>0</v>
      </c>
      <c r="F218" s="14">
        <f>IF(AND(A218&gt;0,A218&lt;=Drivers!C19),Summary!C11*Drivers!C40/Drivers!C19*(1+Drivers!C21)^(A218/12),Summary!C11*(1-Drivers!C40 )*D218*(1+Drivers!C21)^(A218/12))</f>
        <v>0</v>
      </c>
      <c r="G218" s="14">
        <f>IF(AND(A218&gt;0,A218&lt;=2),Drivers!C16/2,0)</f>
        <v>0</v>
      </c>
      <c r="H218" s="14">
        <f>IF(A218=(Drivers!C19+Drivers!C20),Drivers!C17*(1+Drivers!C21)^(A218/12),0)</f>
        <v>0</v>
      </c>
      <c r="I218" s="14">
        <f>IF(AND(A218&gt;0,A218&lt;=(Drivers!C19+Drivers!C20)),Drivers!C18*(1+Drivers!C23)^(A218/12),0)</f>
        <v>0</v>
      </c>
      <c r="J218" s="14">
        <f t="shared" si="1"/>
        <v>0</v>
      </c>
      <c r="K218" s="12">
        <f>IF(A218&gt;(Drivers!C19+Drivers!C20),MIN(1,0.5+0.5*(A218-(Drivers!C19+Drivers!C20))/Drivers!C39),0)</f>
        <v>1</v>
      </c>
      <c r="L218" s="14">
        <f>Drivers!C2*(B218-B217)*Drivers!C24*(1+Drivers!C22)^(A218/12)*Drivers!C25*K218</f>
        <v>1017365.054</v>
      </c>
      <c r="M218" s="14">
        <f>L218*Drivers!C26</f>
        <v>203473.0108</v>
      </c>
      <c r="N218" s="14">
        <f>(L218+M218)*Drivers!C27</f>
        <v>427293.3227</v>
      </c>
      <c r="O218" s="14">
        <f>IF(A218&gt;(Drivers!C19+Drivers!C20),Drivers!C28/12*(1+Drivers!C23)^(A218/12),0)</f>
        <v>675272.1718</v>
      </c>
      <c r="P218" s="14">
        <f>(L218+M218)*Drivers!C29</f>
        <v>48833.52259</v>
      </c>
      <c r="Q218" s="14">
        <f>Drivers!C3*Drivers!C30*(1+Drivers!C22)^(A218/12)*Drivers!C31*(1-Drivers!C32 )*K218</f>
        <v>77487.48171</v>
      </c>
      <c r="R218" s="14">
        <f>IF(A218&gt;(Drivers!C19+Drivers!C20),Drivers!C33/12*(1+Drivers!C23)^(A218/12),0)</f>
        <v>101290.8258</v>
      </c>
      <c r="S218" s="14">
        <f t="shared" si="2"/>
        <v>45635.7037</v>
      </c>
      <c r="T218" s="14">
        <f t="shared" si="6"/>
        <v>96540.30457</v>
      </c>
      <c r="U218" s="14">
        <f>IF(AND(A218&gt;Drivers!C19,A218&lt;=(Drivers!C19+Drivers!C20)),Summary!C31*D218,0)</f>
        <v>0</v>
      </c>
      <c r="V218" s="14">
        <f>IF(A218&lt;=(Drivers!C19+Drivers!C20),(T218+U218/2)*Drivers!C36/12,T218*Drivers!C36/12)</f>
        <v>925.1779188</v>
      </c>
      <c r="W218" s="14">
        <f>IF(A218&gt;(Drivers!C19+Drivers!C20),MIN(T218,MAX(0,Summary!C32/12-V218)),0)</f>
        <v>13400.0092</v>
      </c>
      <c r="X218" s="14">
        <f>IF(A218=(Drivers!C19+1),Summary!C31*Drivers!C38,0)</f>
        <v>0</v>
      </c>
      <c r="Y218" s="14">
        <f t="shared" si="3"/>
        <v>83140.29536</v>
      </c>
      <c r="Z218" s="14">
        <f t="shared" si="4"/>
        <v>31310.51657</v>
      </c>
      <c r="AA218" s="14">
        <f t="shared" si="7"/>
        <v>-108073755.8</v>
      </c>
      <c r="AB218" s="14">
        <f t="shared" si="5"/>
        <v>45635.7037</v>
      </c>
      <c r="AC218" s="14">
        <f>(E218+F218+G218+H218)*Drivers!C45</f>
        <v>0</v>
      </c>
      <c r="AD218" s="14">
        <f>IF(A218&lt;=Summary!C18,AB218+IF(A218=Summary!C18,Summary!C40,0),0)</f>
        <v>0</v>
      </c>
      <c r="AE218" s="14">
        <f>IF(A218&lt;=Summary!C18,Z218+IF(A218=Summary!C18,Summary!C40-Y218,0),0)</f>
        <v>0</v>
      </c>
      <c r="AF218" s="14">
        <f>AD218-IF(A218=0,Drivers!C44,0)</f>
        <v>0</v>
      </c>
      <c r="AG218" s="14">
        <f t="shared" si="8"/>
        <v>-106683285.4</v>
      </c>
    </row>
    <row r="219">
      <c r="A219" s="2">
        <v>217.0</v>
      </c>
      <c r="B219" s="15">
        <f>EDATE(Setup!B2,A219)</f>
        <v>52884</v>
      </c>
      <c r="C219" s="2" t="str">
        <f>IF(A219=0,"T0",IF(A219&lt;=Drivers!C19,"Preconstruction",IF(A219&lt;=(Drivers!C19+Drivers!C20),"Construction","Trading")))</f>
        <v>Trading</v>
      </c>
      <c r="D219" s="12">
        <f t="array" ref="D219">IF(AND(A219&gt;Drivers!C19,A219&lt;=(Drivers!C19+Drivers!C20)),SIN(PI()*(A219-Drivers!C19-0.5)/Drivers!C20)/SUMPRODUCT(SIN(PI()*(SEQUENCE(Drivers!C20,1)-0.5)/Drivers!C20)),0)</f>
        <v>0</v>
      </c>
      <c r="E219" s="14">
        <f>(Summary!C10+Summary!C12)*D219*(1+Drivers!C21)^(A219/12)</f>
        <v>0</v>
      </c>
      <c r="F219" s="14">
        <f>IF(AND(A219&gt;0,A219&lt;=Drivers!C19),Summary!C11*Drivers!C40/Drivers!C19*(1+Drivers!C21)^(A219/12),Summary!C11*(1-Drivers!C40 )*D219*(1+Drivers!C21)^(A219/12))</f>
        <v>0</v>
      </c>
      <c r="G219" s="14">
        <f>IF(AND(A219&gt;0,A219&lt;=2),Drivers!C16/2,0)</f>
        <v>0</v>
      </c>
      <c r="H219" s="14">
        <f>IF(A219=(Drivers!C19+Drivers!C20),Drivers!C17*(1+Drivers!C21)^(A219/12),0)</f>
        <v>0</v>
      </c>
      <c r="I219" s="14">
        <f>IF(AND(A219&gt;0,A219&lt;=(Drivers!C19+Drivers!C20)),Drivers!C18*(1+Drivers!C23)^(A219/12),0)</f>
        <v>0</v>
      </c>
      <c r="J219" s="14">
        <f t="shared" si="1"/>
        <v>0</v>
      </c>
      <c r="K219" s="12">
        <f>IF(A219&gt;(Drivers!C19+Drivers!C20),MIN(1,0.5+0.5*(A219-(Drivers!C19+Drivers!C20))/Drivers!C39),0)</f>
        <v>1</v>
      </c>
      <c r="L219" s="14">
        <f>Drivers!C2*(B219-B218)*Drivers!C24*(1+Drivers!C22)^(A219/12)*Drivers!C25*K219</f>
        <v>987769.9766</v>
      </c>
      <c r="M219" s="14">
        <f>L219*Drivers!C26</f>
        <v>197553.9953</v>
      </c>
      <c r="N219" s="14">
        <f>(L219+M219)*Drivers!C27</f>
        <v>414863.3902</v>
      </c>
      <c r="O219" s="14">
        <f>IF(A219&gt;(Drivers!C19+Drivers!C20),Drivers!C28/12*(1+Drivers!C23)^(A219/12),0)</f>
        <v>677482.8372</v>
      </c>
      <c r="P219" s="14">
        <f>(L219+M219)*Drivers!C29</f>
        <v>47412.95888</v>
      </c>
      <c r="Q219" s="14">
        <f>Drivers!C3*Drivers!C30*(1+Drivers!C22)^(A219/12)*Drivers!C31*(1-Drivers!C32 )*K219</f>
        <v>77741.15556</v>
      </c>
      <c r="R219" s="14">
        <f>IF(A219&gt;(Drivers!C19+Drivers!C20),Drivers!C33/12*(1+Drivers!C23)^(A219/12),0)</f>
        <v>101622.4256</v>
      </c>
      <c r="S219" s="14">
        <f t="shared" si="2"/>
        <v>21683.51569</v>
      </c>
      <c r="T219" s="14">
        <f t="shared" si="6"/>
        <v>83140.29536</v>
      </c>
      <c r="U219" s="14">
        <f>IF(AND(A219&gt;Drivers!C19,A219&lt;=(Drivers!C19+Drivers!C20)),Summary!C31*D219,0)</f>
        <v>0</v>
      </c>
      <c r="V219" s="14">
        <f>IF(A219&lt;=(Drivers!C19+Drivers!C20),(T219+U219/2)*Drivers!C36/12,T219*Drivers!C36/12)</f>
        <v>796.7611639</v>
      </c>
      <c r="W219" s="14">
        <f>IF(A219&gt;(Drivers!C19+Drivers!C20),MIN(T219,MAX(0,Summary!C32/12-V219)),0)</f>
        <v>13528.42596</v>
      </c>
      <c r="X219" s="14">
        <f>IF(A219=(Drivers!C19+1),Summary!C31*Drivers!C38,0)</f>
        <v>0</v>
      </c>
      <c r="Y219" s="14">
        <f t="shared" si="3"/>
        <v>69611.8694</v>
      </c>
      <c r="Z219" s="14">
        <f t="shared" si="4"/>
        <v>7358.328564</v>
      </c>
      <c r="AA219" s="14">
        <f t="shared" si="7"/>
        <v>-108066397.4</v>
      </c>
      <c r="AB219" s="14">
        <f t="shared" si="5"/>
        <v>21683.51569</v>
      </c>
      <c r="AC219" s="14">
        <f>(E219+F219+G219+H219)*Drivers!C45</f>
        <v>0</v>
      </c>
      <c r="AD219" s="14">
        <f>IF(A219&lt;=Summary!C18,AB219+IF(A219=Summary!C18,Summary!C40,0),0)</f>
        <v>0</v>
      </c>
      <c r="AE219" s="14">
        <f>IF(A219&lt;=Summary!C18,Z219+IF(A219=Summary!C18,Summary!C40-Y219,0),0)</f>
        <v>0</v>
      </c>
      <c r="AF219" s="14">
        <f>AD219-IF(A219=0,Drivers!C44,0)</f>
        <v>0</v>
      </c>
      <c r="AG219" s="14">
        <f t="shared" si="8"/>
        <v>-106661601.8</v>
      </c>
    </row>
    <row r="220">
      <c r="A220" s="2">
        <v>218.0</v>
      </c>
      <c r="B220" s="15">
        <f>EDATE(Setup!B2,A220)</f>
        <v>52915</v>
      </c>
      <c r="C220" s="2" t="str">
        <f>IF(A220=0,"T0",IF(A220&lt;=Drivers!C19,"Preconstruction",IF(A220&lt;=(Drivers!C19+Drivers!C20),"Construction","Trading")))</f>
        <v>Trading</v>
      </c>
      <c r="D220" s="12">
        <f t="array" ref="D220">IF(AND(A220&gt;Drivers!C19,A220&lt;=(Drivers!C19+Drivers!C20)),SIN(PI()*(A220-Drivers!C19-0.5)/Drivers!C20)/SUMPRODUCT(SIN(PI()*(SEQUENCE(Drivers!C20,1)-0.5)/Drivers!C20)),0)</f>
        <v>0</v>
      </c>
      <c r="E220" s="14">
        <f>(Summary!C10+Summary!C12)*D220*(1+Drivers!C21)^(A220/12)</f>
        <v>0</v>
      </c>
      <c r="F220" s="14">
        <f>IF(AND(A220&gt;0,A220&lt;=Drivers!C19),Summary!C11*Drivers!C40/Drivers!C19*(1+Drivers!C21)^(A220/12),Summary!C11*(1-Drivers!C40 )*D220*(1+Drivers!C21)^(A220/12))</f>
        <v>0</v>
      </c>
      <c r="G220" s="14">
        <f>IF(AND(A220&gt;0,A220&lt;=2),Drivers!C16/2,0)</f>
        <v>0</v>
      </c>
      <c r="H220" s="14">
        <f>IF(A220=(Drivers!C19+Drivers!C20),Drivers!C17*(1+Drivers!C21)^(A220/12),0)</f>
        <v>0</v>
      </c>
      <c r="I220" s="14">
        <f>IF(AND(A220&gt;0,A220&lt;=(Drivers!C19+Drivers!C20)),Drivers!C18*(1+Drivers!C23)^(A220/12),0)</f>
        <v>0</v>
      </c>
      <c r="J220" s="14">
        <f t="shared" si="1"/>
        <v>0</v>
      </c>
      <c r="K220" s="12">
        <f>IF(A220&gt;(Drivers!C19+Drivers!C20),MIN(1,0.5+0.5*(A220-(Drivers!C19+Drivers!C20))/Drivers!C39),0)</f>
        <v>1</v>
      </c>
      <c r="L220" s="14">
        <f>Drivers!C2*(B220-B219)*Drivers!C24*(1+Drivers!C22)^(A220/12)*Drivers!C25*K220</f>
        <v>1024037.134</v>
      </c>
      <c r="M220" s="14">
        <f>L220*Drivers!C26</f>
        <v>204807.4269</v>
      </c>
      <c r="N220" s="14">
        <f>(L220+M220)*Drivers!C27</f>
        <v>430095.5964</v>
      </c>
      <c r="O220" s="14">
        <f>IF(A220&gt;(Drivers!C19+Drivers!C20),Drivers!C28/12*(1+Drivers!C23)^(A220/12),0)</f>
        <v>679700.7397</v>
      </c>
      <c r="P220" s="14">
        <f>(L220+M220)*Drivers!C29</f>
        <v>49153.78245</v>
      </c>
      <c r="Q220" s="14">
        <f>Drivers!C3*Drivers!C30*(1+Drivers!C22)^(A220/12)*Drivers!C31*(1-Drivers!C32 )*K220</f>
        <v>77995.65988</v>
      </c>
      <c r="R220" s="14">
        <f>IF(A220&gt;(Drivers!C19+Drivers!C20),Drivers!C33/12*(1+Drivers!C23)^(A220/12),0)</f>
        <v>101955.111</v>
      </c>
      <c r="S220" s="14">
        <f t="shared" si="2"/>
        <v>45934.99163</v>
      </c>
      <c r="T220" s="14">
        <f t="shared" si="6"/>
        <v>69611.8694</v>
      </c>
      <c r="U220" s="14">
        <f>IF(AND(A220&gt;Drivers!C19,A220&lt;=(Drivers!C19+Drivers!C20)),Summary!C31*D220,0)</f>
        <v>0</v>
      </c>
      <c r="V220" s="14">
        <f>IF(A220&lt;=(Drivers!C19+Drivers!C20),(T220+U220/2)*Drivers!C36/12,T220*Drivers!C36/12)</f>
        <v>667.1137484</v>
      </c>
      <c r="W220" s="14">
        <f>IF(A220&gt;(Drivers!C19+Drivers!C20),MIN(T220,MAX(0,Summary!C32/12-V220)),0)</f>
        <v>13658.07337</v>
      </c>
      <c r="X220" s="14">
        <f>IF(A220=(Drivers!C19+1),Summary!C31*Drivers!C38,0)</f>
        <v>0</v>
      </c>
      <c r="Y220" s="14">
        <f t="shared" si="3"/>
        <v>55953.79603</v>
      </c>
      <c r="Z220" s="14">
        <f t="shared" si="4"/>
        <v>31609.80451</v>
      </c>
      <c r="AA220" s="14">
        <f t="shared" si="7"/>
        <v>-108034787.6</v>
      </c>
      <c r="AB220" s="14">
        <f t="shared" si="5"/>
        <v>45934.99163</v>
      </c>
      <c r="AC220" s="14">
        <f>(E220+F220+G220+H220)*Drivers!C45</f>
        <v>0</v>
      </c>
      <c r="AD220" s="14">
        <f>IF(A220&lt;=Summary!C18,AB220+IF(A220=Summary!C18,Summary!C40,0),0)</f>
        <v>0</v>
      </c>
      <c r="AE220" s="14">
        <f>IF(A220&lt;=Summary!C18,Z220+IF(A220=Summary!C18,Summary!C40-Y220,0),0)</f>
        <v>0</v>
      </c>
      <c r="AF220" s="14">
        <f>AD220-IF(A220=0,Drivers!C44,0)</f>
        <v>0</v>
      </c>
      <c r="AG220" s="14">
        <f t="shared" si="8"/>
        <v>-106615666.8</v>
      </c>
    </row>
    <row r="221">
      <c r="A221" s="2">
        <v>219.0</v>
      </c>
      <c r="B221" s="15">
        <f>EDATE(Setup!B2,A221)</f>
        <v>52945</v>
      </c>
      <c r="C221" s="2" t="str">
        <f>IF(A221=0,"T0",IF(A221&lt;=Drivers!C19,"Preconstruction",IF(A221&lt;=(Drivers!C19+Drivers!C20),"Construction","Trading")))</f>
        <v>Trading</v>
      </c>
      <c r="D221" s="12">
        <f t="array" ref="D221">IF(AND(A221&gt;Drivers!C19,A221&lt;=(Drivers!C19+Drivers!C20)),SIN(PI()*(A221-Drivers!C19-0.5)/Drivers!C20)/SUMPRODUCT(SIN(PI()*(SEQUENCE(Drivers!C20,1)-0.5)/Drivers!C20)),0)</f>
        <v>0</v>
      </c>
      <c r="E221" s="14">
        <f>(Summary!C10+Summary!C12)*D221*(1+Drivers!C21)^(A221/12)</f>
        <v>0</v>
      </c>
      <c r="F221" s="14">
        <f>IF(AND(A221&gt;0,A221&lt;=Drivers!C19),Summary!C11*Drivers!C40/Drivers!C19*(1+Drivers!C21)^(A221/12),Summary!C11*(1-Drivers!C40 )*D221*(1+Drivers!C21)^(A221/12))</f>
        <v>0</v>
      </c>
      <c r="G221" s="14">
        <f>IF(AND(A221&gt;0,A221&lt;=2),Drivers!C16/2,0)</f>
        <v>0</v>
      </c>
      <c r="H221" s="14">
        <f>IF(A221=(Drivers!C19+Drivers!C20),Drivers!C17*(1+Drivers!C21)^(A221/12),0)</f>
        <v>0</v>
      </c>
      <c r="I221" s="14">
        <f>IF(AND(A221&gt;0,A221&lt;=(Drivers!C19+Drivers!C20)),Drivers!C18*(1+Drivers!C23)^(A221/12),0)</f>
        <v>0</v>
      </c>
      <c r="J221" s="14">
        <f t="shared" si="1"/>
        <v>0</v>
      </c>
      <c r="K221" s="12">
        <f>IF(A221&gt;(Drivers!C19+Drivers!C20),MIN(1,0.5+0.5*(A221-(Drivers!C19+Drivers!C20))/Drivers!C39),0)</f>
        <v>1</v>
      </c>
      <c r="L221" s="14">
        <f>Drivers!C2*(B221-B220)*Drivers!C24*(1+Drivers!C22)^(A221/12)*Drivers!C25*K221</f>
        <v>994247.9666</v>
      </c>
      <c r="M221" s="14">
        <f>L221*Drivers!C26</f>
        <v>198849.5933</v>
      </c>
      <c r="N221" s="14">
        <f>(L221+M221)*Drivers!C27</f>
        <v>417584.146</v>
      </c>
      <c r="O221" s="14">
        <f>IF(A221&gt;(Drivers!C19+Drivers!C20),Drivers!C28/12*(1+Drivers!C23)^(A221/12),0)</f>
        <v>681925.903</v>
      </c>
      <c r="P221" s="14">
        <f>(L221+M221)*Drivers!C29</f>
        <v>47723.9024</v>
      </c>
      <c r="Q221" s="14">
        <f>Drivers!C3*Drivers!C30*(1+Drivers!C22)^(A221/12)*Drivers!C31*(1-Drivers!C32 )*K221</f>
        <v>78250.99737</v>
      </c>
      <c r="R221" s="14">
        <f>IF(A221&gt;(Drivers!C19+Drivers!C20),Drivers!C33/12*(1+Drivers!C23)^(A221/12),0)</f>
        <v>102288.8855</v>
      </c>
      <c r="S221" s="14">
        <f t="shared" si="2"/>
        <v>21825.72045</v>
      </c>
      <c r="T221" s="14">
        <f t="shared" si="6"/>
        <v>55953.79603</v>
      </c>
      <c r="U221" s="14">
        <f>IF(AND(A221&gt;Drivers!C19,A221&lt;=(Drivers!C19+Drivers!C20)),Summary!C31*D221,0)</f>
        <v>0</v>
      </c>
      <c r="V221" s="14">
        <f>IF(A221&lt;=(Drivers!C19+Drivers!C20),(T221+U221/2)*Drivers!C36/12,T221*Drivers!C36/12)</f>
        <v>536.2238786</v>
      </c>
      <c r="W221" s="14">
        <f>IF(A221&gt;(Drivers!C19+Drivers!C20),MIN(T221,MAX(0,Summary!C32/12-V221)),0)</f>
        <v>13788.96324</v>
      </c>
      <c r="X221" s="14">
        <f>IF(A221=(Drivers!C19+1),Summary!C31*Drivers!C38,0)</f>
        <v>0</v>
      </c>
      <c r="Y221" s="14">
        <f t="shared" si="3"/>
        <v>42164.83278</v>
      </c>
      <c r="Z221" s="14">
        <f t="shared" si="4"/>
        <v>7500.53333</v>
      </c>
      <c r="AA221" s="14">
        <f t="shared" si="7"/>
        <v>-108027287.1</v>
      </c>
      <c r="AB221" s="14">
        <f t="shared" si="5"/>
        <v>21825.72045</v>
      </c>
      <c r="AC221" s="14">
        <f>(E221+F221+G221+H221)*Drivers!C45</f>
        <v>0</v>
      </c>
      <c r="AD221" s="14">
        <f>IF(A221&lt;=Summary!C18,AB221+IF(A221=Summary!C18,Summary!C40,0),0)</f>
        <v>0</v>
      </c>
      <c r="AE221" s="14">
        <f>IF(A221&lt;=Summary!C18,Z221+IF(A221=Summary!C18,Summary!C40-Y221,0),0)</f>
        <v>0</v>
      </c>
      <c r="AF221" s="14">
        <f>AD221-IF(A221=0,Drivers!C44,0)</f>
        <v>0</v>
      </c>
      <c r="AG221" s="14">
        <f t="shared" si="8"/>
        <v>-106593841.1</v>
      </c>
    </row>
    <row r="222">
      <c r="A222" s="2">
        <v>220.0</v>
      </c>
      <c r="B222" s="15">
        <f>EDATE(Setup!B2,A222)</f>
        <v>52976</v>
      </c>
      <c r="C222" s="2" t="str">
        <f>IF(A222=0,"T0",IF(A222&lt;=Drivers!C19,"Preconstruction",IF(A222&lt;=(Drivers!C19+Drivers!C20),"Construction","Trading")))</f>
        <v>Trading</v>
      </c>
      <c r="D222" s="12">
        <f t="array" ref="D222">IF(AND(A222&gt;Drivers!C19,A222&lt;=(Drivers!C19+Drivers!C20)),SIN(PI()*(A222-Drivers!C19-0.5)/Drivers!C20)/SUMPRODUCT(SIN(PI()*(SEQUENCE(Drivers!C20,1)-0.5)/Drivers!C20)),0)</f>
        <v>0</v>
      </c>
      <c r="E222" s="14">
        <f>(Summary!C10+Summary!C12)*D222*(1+Drivers!C21)^(A222/12)</f>
        <v>0</v>
      </c>
      <c r="F222" s="14">
        <f>IF(AND(A222&gt;0,A222&lt;=Drivers!C19),Summary!C11*Drivers!C40/Drivers!C19*(1+Drivers!C21)^(A222/12),Summary!C11*(1-Drivers!C40 )*D222*(1+Drivers!C21)^(A222/12))</f>
        <v>0</v>
      </c>
      <c r="G222" s="14">
        <f>IF(AND(A222&gt;0,A222&lt;=2),Drivers!C16/2,0)</f>
        <v>0</v>
      </c>
      <c r="H222" s="14">
        <f>IF(A222=(Drivers!C19+Drivers!C20),Drivers!C17*(1+Drivers!C21)^(A222/12),0)</f>
        <v>0</v>
      </c>
      <c r="I222" s="14">
        <f>IF(AND(A222&gt;0,A222&lt;=(Drivers!C19+Drivers!C20)),Drivers!C18*(1+Drivers!C23)^(A222/12),0)</f>
        <v>0</v>
      </c>
      <c r="J222" s="14">
        <f t="shared" si="1"/>
        <v>0</v>
      </c>
      <c r="K222" s="12">
        <f>IF(A222&gt;(Drivers!C19+Drivers!C20),MIN(1,0.5+0.5*(A222-(Drivers!C19+Drivers!C20))/Drivers!C39),0)</f>
        <v>1</v>
      </c>
      <c r="L222" s="14">
        <f>Drivers!C2*(B222-B221)*Drivers!C24*(1+Drivers!C22)^(A222/12)*Drivers!C25*K222</f>
        <v>1030752.972</v>
      </c>
      <c r="M222" s="14">
        <f>L222*Drivers!C26</f>
        <v>206150.5943</v>
      </c>
      <c r="N222" s="14">
        <f>(L222+M222)*Drivers!C27</f>
        <v>432916.2481</v>
      </c>
      <c r="O222" s="14">
        <f>IF(A222&gt;(Drivers!C19+Drivers!C20),Drivers!C28/12*(1+Drivers!C23)^(A222/12),0)</f>
        <v>684158.351</v>
      </c>
      <c r="P222" s="14">
        <f>(L222+M222)*Drivers!C29</f>
        <v>49476.14264</v>
      </c>
      <c r="Q222" s="14">
        <f>Drivers!C3*Drivers!C30*(1+Drivers!C22)^(A222/12)*Drivers!C31*(1-Drivers!C32 )*K222</f>
        <v>78507.17078</v>
      </c>
      <c r="R222" s="14">
        <f>IF(A222&gt;(Drivers!C19+Drivers!C20),Drivers!C33/12*(1+Drivers!C23)^(A222/12),0)</f>
        <v>102623.7526</v>
      </c>
      <c r="S222" s="14">
        <f t="shared" si="2"/>
        <v>46236.24235</v>
      </c>
      <c r="T222" s="14">
        <f t="shared" si="6"/>
        <v>42164.83278</v>
      </c>
      <c r="U222" s="14">
        <f>IF(AND(A222&gt;Drivers!C19,A222&lt;=(Drivers!C19+Drivers!C20)),Summary!C31*D222,0)</f>
        <v>0</v>
      </c>
      <c r="V222" s="14">
        <f>IF(A222&lt;=(Drivers!C19+Drivers!C20),(T222+U222/2)*Drivers!C36/12,T222*Drivers!C36/12)</f>
        <v>404.0796475</v>
      </c>
      <c r="W222" s="14">
        <f>IF(A222&gt;(Drivers!C19+Drivers!C20),MIN(T222,MAX(0,Summary!C32/12-V222)),0)</f>
        <v>13921.10748</v>
      </c>
      <c r="X222" s="14">
        <f>IF(A222=(Drivers!C19+1),Summary!C31*Drivers!C38,0)</f>
        <v>0</v>
      </c>
      <c r="Y222" s="14">
        <f t="shared" si="3"/>
        <v>28243.72531</v>
      </c>
      <c r="Z222" s="14">
        <f t="shared" si="4"/>
        <v>31911.05523</v>
      </c>
      <c r="AA222" s="14">
        <f t="shared" si="7"/>
        <v>-107995376</v>
      </c>
      <c r="AB222" s="14">
        <f t="shared" si="5"/>
        <v>46236.24235</v>
      </c>
      <c r="AC222" s="14">
        <f>(E222+F222+G222+H222)*Drivers!C45</f>
        <v>0</v>
      </c>
      <c r="AD222" s="14">
        <f>IF(A222&lt;=Summary!C18,AB222+IF(A222=Summary!C18,Summary!C40,0),0)</f>
        <v>0</v>
      </c>
      <c r="AE222" s="14">
        <f>IF(A222&lt;=Summary!C18,Z222+IF(A222=Summary!C18,Summary!C40-Y222,0),0)</f>
        <v>0</v>
      </c>
      <c r="AF222" s="14">
        <f>AD222-IF(A222=0,Drivers!C44,0)</f>
        <v>0</v>
      </c>
      <c r="AG222" s="14">
        <f t="shared" si="8"/>
        <v>-106547604.9</v>
      </c>
    </row>
    <row r="223">
      <c r="A223" s="2">
        <v>221.0</v>
      </c>
      <c r="B223" s="15">
        <f>EDATE(Setup!B2,A223)</f>
        <v>53007</v>
      </c>
      <c r="C223" s="2" t="str">
        <f>IF(A223=0,"T0",IF(A223&lt;=Drivers!C19,"Preconstruction",IF(A223&lt;=(Drivers!C19+Drivers!C20),"Construction","Trading")))</f>
        <v>Trading</v>
      </c>
      <c r="D223" s="12">
        <f t="array" ref="D223">IF(AND(A223&gt;Drivers!C19,A223&lt;=(Drivers!C19+Drivers!C20)),SIN(PI()*(A223-Drivers!C19-0.5)/Drivers!C20)/SUMPRODUCT(SIN(PI()*(SEQUENCE(Drivers!C20,1)-0.5)/Drivers!C20)),0)</f>
        <v>0</v>
      </c>
      <c r="E223" s="14">
        <f>(Summary!C10+Summary!C12)*D223*(1+Drivers!C21)^(A223/12)</f>
        <v>0</v>
      </c>
      <c r="F223" s="14">
        <f>IF(AND(A223&gt;0,A223&lt;=Drivers!C19),Summary!C11*Drivers!C40/Drivers!C19*(1+Drivers!C21)^(A223/12),Summary!C11*(1-Drivers!C40 )*D223*(1+Drivers!C21)^(A223/12))</f>
        <v>0</v>
      </c>
      <c r="G223" s="14">
        <f>IF(AND(A223&gt;0,A223&lt;=2),Drivers!C16/2,0)</f>
        <v>0</v>
      </c>
      <c r="H223" s="14">
        <f>IF(A223=(Drivers!C19+Drivers!C20),Drivers!C17*(1+Drivers!C21)^(A223/12),0)</f>
        <v>0</v>
      </c>
      <c r="I223" s="14">
        <f>IF(AND(A223&gt;0,A223&lt;=(Drivers!C19+Drivers!C20)),Drivers!C18*(1+Drivers!C23)^(A223/12),0)</f>
        <v>0</v>
      </c>
      <c r="J223" s="14">
        <f t="shared" si="1"/>
        <v>0</v>
      </c>
      <c r="K223" s="12">
        <f>IF(A223&gt;(Drivers!C19+Drivers!C20),MIN(1,0.5+0.5*(A223-(Drivers!C19+Drivers!C20))/Drivers!C39),0)</f>
        <v>1</v>
      </c>
      <c r="L223" s="14">
        <f>Drivers!C2*(B223-B222)*Drivers!C24*(1+Drivers!C22)^(A223/12)*Drivers!C25*K223</f>
        <v>1034127.389</v>
      </c>
      <c r="M223" s="14">
        <f>L223*Drivers!C26</f>
        <v>206825.4777</v>
      </c>
      <c r="N223" s="14">
        <f>(L223+M223)*Drivers!C27</f>
        <v>434333.5032</v>
      </c>
      <c r="O223" s="14">
        <f>IF(A223&gt;(Drivers!C19+Drivers!C20),Drivers!C28/12*(1+Drivers!C23)^(A223/12),0)</f>
        <v>686398.1074</v>
      </c>
      <c r="P223" s="14">
        <f>(L223+M223)*Drivers!C29</f>
        <v>49638.11465</v>
      </c>
      <c r="Q223" s="14">
        <f>Drivers!C3*Drivers!C30*(1+Drivers!C22)^(A223/12)*Drivers!C31*(1-Drivers!C32 )*K223</f>
        <v>78764.18282</v>
      </c>
      <c r="R223" s="14">
        <f>IF(A223&gt;(Drivers!C19+Drivers!C20),Drivers!C33/12*(1+Drivers!C23)^(A223/12),0)</f>
        <v>102959.7161</v>
      </c>
      <c r="S223" s="14">
        <f t="shared" si="2"/>
        <v>46387.60778</v>
      </c>
      <c r="T223" s="14">
        <f t="shared" si="6"/>
        <v>28243.72531</v>
      </c>
      <c r="U223" s="14">
        <f>IF(AND(A223&gt;Drivers!C19,A223&lt;=(Drivers!C19+Drivers!C20)),Summary!C31*D223,0)</f>
        <v>0</v>
      </c>
      <c r="V223" s="14">
        <f>IF(A223&lt;=(Drivers!C19+Drivers!C20),(T223+U223/2)*Drivers!C36/12,T223*Drivers!C36/12)</f>
        <v>270.6690342</v>
      </c>
      <c r="W223" s="14">
        <f>IF(A223&gt;(Drivers!C19+Drivers!C20),MIN(T223,MAX(0,Summary!C32/12-V223)),0)</f>
        <v>14054.51809</v>
      </c>
      <c r="X223" s="14">
        <f>IF(A223=(Drivers!C19+1),Summary!C31*Drivers!C38,0)</f>
        <v>0</v>
      </c>
      <c r="Y223" s="14">
        <f t="shared" si="3"/>
        <v>14189.20722</v>
      </c>
      <c r="Z223" s="14">
        <f t="shared" si="4"/>
        <v>32062.42065</v>
      </c>
      <c r="AA223" s="14">
        <f t="shared" si="7"/>
        <v>-107963313.6</v>
      </c>
      <c r="AB223" s="14">
        <f t="shared" si="5"/>
        <v>46387.60778</v>
      </c>
      <c r="AC223" s="14">
        <f>(E223+F223+G223+H223)*Drivers!C45</f>
        <v>0</v>
      </c>
      <c r="AD223" s="14">
        <f>IF(A223&lt;=Summary!C18,AB223+IF(A223=Summary!C18,Summary!C40,0),0)</f>
        <v>0</v>
      </c>
      <c r="AE223" s="14">
        <f>IF(A223&lt;=Summary!C18,Z223+IF(A223=Summary!C18,Summary!C40-Y223,0),0)</f>
        <v>0</v>
      </c>
      <c r="AF223" s="14">
        <f>AD223-IF(A223=0,Drivers!C44,0)</f>
        <v>0</v>
      </c>
      <c r="AG223" s="14">
        <f t="shared" si="8"/>
        <v>-106501217.3</v>
      </c>
    </row>
    <row r="224">
      <c r="A224" s="2">
        <v>222.0</v>
      </c>
      <c r="B224" s="15">
        <f>EDATE(Setup!B2,A224)</f>
        <v>53035</v>
      </c>
      <c r="C224" s="2" t="str">
        <f>IF(A224=0,"T0",IF(A224&lt;=Drivers!C19,"Preconstruction",IF(A224&lt;=(Drivers!C19+Drivers!C20),"Construction","Trading")))</f>
        <v>Trading</v>
      </c>
      <c r="D224" s="12">
        <f t="array" ref="D224">IF(AND(A224&gt;Drivers!C19,A224&lt;=(Drivers!C19+Drivers!C20)),SIN(PI()*(A224-Drivers!C19-0.5)/Drivers!C20)/SUMPRODUCT(SIN(PI()*(SEQUENCE(Drivers!C20,1)-0.5)/Drivers!C20)),0)</f>
        <v>0</v>
      </c>
      <c r="E224" s="14">
        <f>(Summary!C10+Summary!C12)*D224*(1+Drivers!C21)^(A224/12)</f>
        <v>0</v>
      </c>
      <c r="F224" s="14">
        <f>IF(AND(A224&gt;0,A224&lt;=Drivers!C19),Summary!C11*Drivers!C40/Drivers!C19*(1+Drivers!C21)^(A224/12),Summary!C11*(1-Drivers!C40 )*D224*(1+Drivers!C21)^(A224/12))</f>
        <v>0</v>
      </c>
      <c r="G224" s="14">
        <f>IF(AND(A224&gt;0,A224&lt;=2),Drivers!C16/2,0)</f>
        <v>0</v>
      </c>
      <c r="H224" s="14">
        <f>IF(A224=(Drivers!C19+Drivers!C20),Drivers!C17*(1+Drivers!C21)^(A224/12),0)</f>
        <v>0</v>
      </c>
      <c r="I224" s="14">
        <f>IF(AND(A224&gt;0,A224&lt;=(Drivers!C19+Drivers!C20)),Drivers!C18*(1+Drivers!C23)^(A224/12),0)</f>
        <v>0</v>
      </c>
      <c r="J224" s="14">
        <f t="shared" si="1"/>
        <v>0</v>
      </c>
      <c r="K224" s="12">
        <f>IF(A224&gt;(Drivers!C19+Drivers!C20),MIN(1,0.5+0.5*(A224-(Drivers!C19+Drivers!C20))/Drivers!C39),0)</f>
        <v>1</v>
      </c>
      <c r="L224" s="14">
        <f>Drivers!C2*(B224-B223)*Drivers!C24*(1+Drivers!C22)^(A224/12)*Drivers!C25*K224</f>
        <v>937108.383</v>
      </c>
      <c r="M224" s="14">
        <f>L224*Drivers!C26</f>
        <v>187421.6766</v>
      </c>
      <c r="N224" s="14">
        <f>(L224+M224)*Drivers!C27</f>
        <v>393585.5209</v>
      </c>
      <c r="O224" s="14">
        <f>IF(A224&gt;(Drivers!C19+Drivers!C20),Drivers!C28/12*(1+Drivers!C23)^(A224/12),0)</f>
        <v>688645.1962</v>
      </c>
      <c r="P224" s="14">
        <f>(L224+M224)*Drivers!C29</f>
        <v>44981.20238</v>
      </c>
      <c r="Q224" s="14">
        <f>Drivers!C3*Drivers!C30*(1+Drivers!C22)^(A224/12)*Drivers!C31*(1-Drivers!C32 )*K224</f>
        <v>79022.03626</v>
      </c>
      <c r="R224" s="14">
        <f>IF(A224&gt;(Drivers!C19+Drivers!C20),Drivers!C33/12*(1+Drivers!C23)^(A224/12),0)</f>
        <v>103296.7794</v>
      </c>
      <c r="S224" s="14">
        <f t="shared" si="2"/>
        <v>-26956.60302</v>
      </c>
      <c r="T224" s="14">
        <f t="shared" si="6"/>
        <v>14189.20722</v>
      </c>
      <c r="U224" s="14">
        <f>IF(AND(A224&gt;Drivers!C19,A224&lt;=(Drivers!C19+Drivers!C20)),Summary!C31*D224,0)</f>
        <v>0</v>
      </c>
      <c r="V224" s="14">
        <f>IF(A224&lt;=(Drivers!C19+Drivers!C20),(T224+U224/2)*Drivers!C36/12,T224*Drivers!C36/12)</f>
        <v>135.9799025</v>
      </c>
      <c r="W224" s="14">
        <f>IF(A224&gt;(Drivers!C19+Drivers!C20),MIN(T224,MAX(0,Summary!C32/12-V224)),0)</f>
        <v>14189.20722</v>
      </c>
      <c r="X224" s="14">
        <f>IF(A224=(Drivers!C19+1),Summary!C31*Drivers!C38,0)</f>
        <v>0</v>
      </c>
      <c r="Y224" s="14">
        <f t="shared" si="3"/>
        <v>0</v>
      </c>
      <c r="Z224" s="14">
        <f t="shared" si="4"/>
        <v>-41281.79014</v>
      </c>
      <c r="AA224" s="14">
        <f t="shared" si="7"/>
        <v>-108004595.4</v>
      </c>
      <c r="AB224" s="14">
        <f t="shared" si="5"/>
        <v>-26956.60302</v>
      </c>
      <c r="AC224" s="14">
        <f>(E224+F224+G224+H224)*Drivers!C45</f>
        <v>0</v>
      </c>
      <c r="AD224" s="14">
        <f>IF(A224&lt;=Summary!C18,AB224+IF(A224=Summary!C18,Summary!C40,0),0)</f>
        <v>0</v>
      </c>
      <c r="AE224" s="14">
        <f>IF(A224&lt;=Summary!C18,Z224+IF(A224=Summary!C18,Summary!C40-Y224,0),0)</f>
        <v>0</v>
      </c>
      <c r="AF224" s="14">
        <f>AD224-IF(A224=0,Drivers!C44,0)</f>
        <v>0</v>
      </c>
      <c r="AG224" s="14">
        <f t="shared" si="8"/>
        <v>-106528173.9</v>
      </c>
    </row>
    <row r="225">
      <c r="A225" s="2">
        <v>223.0</v>
      </c>
      <c r="B225" s="15">
        <f>EDATE(Setup!B2,A225)</f>
        <v>53066</v>
      </c>
      <c r="C225" s="2" t="str">
        <f>IF(A225=0,"T0",IF(A225&lt;=Drivers!C19,"Preconstruction",IF(A225&lt;=(Drivers!C19+Drivers!C20),"Construction","Trading")))</f>
        <v>Trading</v>
      </c>
      <c r="D225" s="12">
        <f t="array" ref="D225">IF(AND(A225&gt;Drivers!C19,A225&lt;=(Drivers!C19+Drivers!C20)),SIN(PI()*(A225-Drivers!C19-0.5)/Drivers!C20)/SUMPRODUCT(SIN(PI()*(SEQUENCE(Drivers!C20,1)-0.5)/Drivers!C20)),0)</f>
        <v>0</v>
      </c>
      <c r="E225" s="14">
        <f>(Summary!C10+Summary!C12)*D225*(1+Drivers!C21)^(A225/12)</f>
        <v>0</v>
      </c>
      <c r="F225" s="14">
        <f>IF(AND(A225&gt;0,A225&lt;=Drivers!C19),Summary!C11*Drivers!C40/Drivers!C19*(1+Drivers!C21)^(A225/12),Summary!C11*(1-Drivers!C40 )*D225*(1+Drivers!C21)^(A225/12))</f>
        <v>0</v>
      </c>
      <c r="G225" s="14">
        <f>IF(AND(A225&gt;0,A225&lt;=2),Drivers!C16/2,0)</f>
        <v>0</v>
      </c>
      <c r="H225" s="14">
        <f>IF(A225=(Drivers!C19+Drivers!C20),Drivers!C17*(1+Drivers!C21)^(A225/12),0)</f>
        <v>0</v>
      </c>
      <c r="I225" s="14">
        <f>IF(AND(A225&gt;0,A225&lt;=(Drivers!C19+Drivers!C20)),Drivers!C18*(1+Drivers!C23)^(A225/12),0)</f>
        <v>0</v>
      </c>
      <c r="J225" s="14">
        <f t="shared" si="1"/>
        <v>0</v>
      </c>
      <c r="K225" s="12">
        <f>IF(A225&gt;(Drivers!C19+Drivers!C20),MIN(1,0.5+0.5*(A225-(Drivers!C19+Drivers!C20))/Drivers!C39),0)</f>
        <v>1</v>
      </c>
      <c r="L225" s="14">
        <f>Drivers!C2*(B225-B224)*Drivers!C24*(1+Drivers!C22)^(A225/12)*Drivers!C25*K225</f>
        <v>1040909.4</v>
      </c>
      <c r="M225" s="14">
        <f>L225*Drivers!C26</f>
        <v>208181.8799</v>
      </c>
      <c r="N225" s="14">
        <f>(L225+M225)*Drivers!C27</f>
        <v>437181.9479</v>
      </c>
      <c r="O225" s="14">
        <f>IF(A225&gt;(Drivers!C19+Drivers!C20),Drivers!C28/12*(1+Drivers!C23)^(A225/12),0)</f>
        <v>690899.6414</v>
      </c>
      <c r="P225" s="14">
        <f>(L225+M225)*Drivers!C29</f>
        <v>49963.65118</v>
      </c>
      <c r="Q225" s="14">
        <f>Drivers!C3*Drivers!C30*(1+Drivers!C22)^(A225/12)*Drivers!C31*(1-Drivers!C32 )*K225</f>
        <v>79280.73385</v>
      </c>
      <c r="R225" s="14">
        <f>IF(A225&gt;(Drivers!C19+Drivers!C20),Drivers!C33/12*(1+Drivers!C23)^(A225/12),0)</f>
        <v>103634.9462</v>
      </c>
      <c r="S225" s="14">
        <f t="shared" si="2"/>
        <v>46691.82684</v>
      </c>
      <c r="T225" s="14">
        <f t="shared" si="6"/>
        <v>0</v>
      </c>
      <c r="U225" s="14">
        <f>IF(AND(A225&gt;Drivers!C19,A225&lt;=(Drivers!C19+Drivers!C20)),Summary!C31*D225,0)</f>
        <v>0</v>
      </c>
      <c r="V225" s="14">
        <f>IF(A225&lt;=(Drivers!C19+Drivers!C20),(T225+U225/2)*Drivers!C36/12,T225*Drivers!C36/12)</f>
        <v>0</v>
      </c>
      <c r="W225" s="14">
        <f>IF(A225&gt;(Drivers!C19+Drivers!C20),MIN(T225,MAX(0,Summary!C32/12-V225)),0)</f>
        <v>0</v>
      </c>
      <c r="X225" s="14">
        <f>IF(A225=(Drivers!C19+1),Summary!C31*Drivers!C38,0)</f>
        <v>0</v>
      </c>
      <c r="Y225" s="14">
        <f t="shared" si="3"/>
        <v>0</v>
      </c>
      <c r="Z225" s="14">
        <f t="shared" si="4"/>
        <v>46691.82684</v>
      </c>
      <c r="AA225" s="14">
        <f t="shared" si="7"/>
        <v>-107957903.6</v>
      </c>
      <c r="AB225" s="14">
        <f t="shared" si="5"/>
        <v>46691.82684</v>
      </c>
      <c r="AC225" s="14">
        <f>(E225+F225+G225+H225)*Drivers!C45</f>
        <v>0</v>
      </c>
      <c r="AD225" s="14">
        <f>IF(A225&lt;=Summary!C18,AB225+IF(A225=Summary!C18,Summary!C40,0),0)</f>
        <v>0</v>
      </c>
      <c r="AE225" s="14">
        <f>IF(A225&lt;=Summary!C18,Z225+IF(A225=Summary!C18,Summary!C40-Y225,0),0)</f>
        <v>0</v>
      </c>
      <c r="AF225" s="14">
        <f>AD225-IF(A225=0,Drivers!C44,0)</f>
        <v>0</v>
      </c>
      <c r="AG225" s="14">
        <f t="shared" si="8"/>
        <v>-106481482.1</v>
      </c>
    </row>
    <row r="226">
      <c r="A226" s="2">
        <v>224.0</v>
      </c>
      <c r="B226" s="15">
        <f>EDATE(Setup!B2,A226)</f>
        <v>53096</v>
      </c>
      <c r="C226" s="2" t="str">
        <f>IF(A226=0,"T0",IF(A226&lt;=Drivers!C19,"Preconstruction",IF(A226&lt;=(Drivers!C19+Drivers!C20),"Construction","Trading")))</f>
        <v>Trading</v>
      </c>
      <c r="D226" s="12">
        <f t="array" ref="D226">IF(AND(A226&gt;Drivers!C19,A226&lt;=(Drivers!C19+Drivers!C20)),SIN(PI()*(A226-Drivers!C19-0.5)/Drivers!C20)/SUMPRODUCT(SIN(PI()*(SEQUENCE(Drivers!C20,1)-0.5)/Drivers!C20)),0)</f>
        <v>0</v>
      </c>
      <c r="E226" s="14">
        <f>(Summary!C10+Summary!C12)*D226*(1+Drivers!C21)^(A226/12)</f>
        <v>0</v>
      </c>
      <c r="F226" s="14">
        <f>IF(AND(A226&gt;0,A226&lt;=Drivers!C19),Summary!C11*Drivers!C40/Drivers!C19*(1+Drivers!C21)^(A226/12),Summary!C11*(1-Drivers!C40 )*D226*(1+Drivers!C21)^(A226/12))</f>
        <v>0</v>
      </c>
      <c r="G226" s="14">
        <f>IF(AND(A226&gt;0,A226&lt;=2),Drivers!C16/2,0)</f>
        <v>0</v>
      </c>
      <c r="H226" s="14">
        <f>IF(A226=(Drivers!C19+Drivers!C20),Drivers!C17*(1+Drivers!C21)^(A226/12),0)</f>
        <v>0</v>
      </c>
      <c r="I226" s="14">
        <f>IF(AND(A226&gt;0,A226&lt;=(Drivers!C19+Drivers!C20)),Drivers!C18*(1+Drivers!C23)^(A226/12),0)</f>
        <v>0</v>
      </c>
      <c r="J226" s="14">
        <f t="shared" si="1"/>
        <v>0</v>
      </c>
      <c r="K226" s="12">
        <f>IF(A226&gt;(Drivers!C19+Drivers!C20),MIN(1,0.5+0.5*(A226-(Drivers!C19+Drivers!C20))/Drivers!C39),0)</f>
        <v>1</v>
      </c>
      <c r="L226" s="14">
        <f>Drivers!C2*(B226-B225)*Drivers!C24*(1+Drivers!C22)^(A226/12)*Drivers!C25*K226</f>
        <v>1010629.419</v>
      </c>
      <c r="M226" s="14">
        <f>L226*Drivers!C26</f>
        <v>202125.8838</v>
      </c>
      <c r="N226" s="14">
        <f>(L226+M226)*Drivers!C27</f>
        <v>424464.3559</v>
      </c>
      <c r="O226" s="14">
        <f>IF(A226&gt;(Drivers!C19+Drivers!C20),Drivers!C28/12*(1+Drivers!C23)^(A226/12),0)</f>
        <v>693161.467</v>
      </c>
      <c r="P226" s="14">
        <f>(L226+M226)*Drivers!C29</f>
        <v>48510.21211</v>
      </c>
      <c r="Q226" s="14">
        <f>Drivers!C3*Drivers!C30*(1+Drivers!C22)^(A226/12)*Drivers!C31*(1-Drivers!C32 )*K226</f>
        <v>79540.27834</v>
      </c>
      <c r="R226" s="14">
        <f>IF(A226&gt;(Drivers!C19+Drivers!C20),Drivers!C33/12*(1+Drivers!C23)^(A226/12),0)</f>
        <v>103974.2201</v>
      </c>
      <c r="S226" s="14">
        <f t="shared" si="2"/>
        <v>22185.32591</v>
      </c>
      <c r="T226" s="14">
        <f t="shared" si="6"/>
        <v>0</v>
      </c>
      <c r="U226" s="14">
        <f>IF(AND(A226&gt;Drivers!C19,A226&lt;=(Drivers!C19+Drivers!C20)),Summary!C31*D226,0)</f>
        <v>0</v>
      </c>
      <c r="V226" s="14">
        <f>IF(A226&lt;=(Drivers!C19+Drivers!C20),(T226+U226/2)*Drivers!C36/12,T226*Drivers!C36/12)</f>
        <v>0</v>
      </c>
      <c r="W226" s="14">
        <f>IF(A226&gt;(Drivers!C19+Drivers!C20),MIN(T226,MAX(0,Summary!C32/12-V226)),0)</f>
        <v>0</v>
      </c>
      <c r="X226" s="14">
        <f>IF(A226=(Drivers!C19+1),Summary!C31*Drivers!C38,0)</f>
        <v>0</v>
      </c>
      <c r="Y226" s="14">
        <f t="shared" si="3"/>
        <v>0</v>
      </c>
      <c r="Z226" s="14">
        <f t="shared" si="4"/>
        <v>22185.32591</v>
      </c>
      <c r="AA226" s="14">
        <f t="shared" si="7"/>
        <v>-107935718.3</v>
      </c>
      <c r="AB226" s="14">
        <f t="shared" si="5"/>
        <v>22185.32591</v>
      </c>
      <c r="AC226" s="14">
        <f>(E226+F226+G226+H226)*Drivers!C45</f>
        <v>0</v>
      </c>
      <c r="AD226" s="14">
        <f>IF(A226&lt;=Summary!C18,AB226+IF(A226=Summary!C18,Summary!C40,0),0)</f>
        <v>0</v>
      </c>
      <c r="AE226" s="14">
        <f>IF(A226&lt;=Summary!C18,Z226+IF(A226=Summary!C18,Summary!C40-Y226,0),0)</f>
        <v>0</v>
      </c>
      <c r="AF226" s="14">
        <f>AD226-IF(A226=0,Drivers!C44,0)</f>
        <v>0</v>
      </c>
      <c r="AG226" s="14">
        <f t="shared" si="8"/>
        <v>-106459296.7</v>
      </c>
    </row>
    <row r="227">
      <c r="A227" s="2">
        <v>225.0</v>
      </c>
      <c r="B227" s="15">
        <f>EDATE(Setup!B2,A227)</f>
        <v>53127</v>
      </c>
      <c r="C227" s="2" t="str">
        <f>IF(A227=0,"T0",IF(A227&lt;=Drivers!C19,"Preconstruction",IF(A227&lt;=(Drivers!C19+Drivers!C20),"Construction","Trading")))</f>
        <v>Trading</v>
      </c>
      <c r="D227" s="12">
        <f t="array" ref="D227">IF(AND(A227&gt;Drivers!C19,A227&lt;=(Drivers!C19+Drivers!C20)),SIN(PI()*(A227-Drivers!C19-0.5)/Drivers!C20)/SUMPRODUCT(SIN(PI()*(SEQUENCE(Drivers!C20,1)-0.5)/Drivers!C20)),0)</f>
        <v>0</v>
      </c>
      <c r="E227" s="14">
        <f>(Summary!C10+Summary!C12)*D227*(1+Drivers!C21)^(A227/12)</f>
        <v>0</v>
      </c>
      <c r="F227" s="14">
        <f>IF(AND(A227&gt;0,A227&lt;=Drivers!C19),Summary!C11*Drivers!C40/Drivers!C19*(1+Drivers!C21)^(A227/12),Summary!C11*(1-Drivers!C40 )*D227*(1+Drivers!C21)^(A227/12))</f>
        <v>0</v>
      </c>
      <c r="G227" s="14">
        <f>IF(AND(A227&gt;0,A227&lt;=2),Drivers!C16/2,0)</f>
        <v>0</v>
      </c>
      <c r="H227" s="14">
        <f>IF(A227=(Drivers!C19+Drivers!C20),Drivers!C17*(1+Drivers!C21)^(A227/12),0)</f>
        <v>0</v>
      </c>
      <c r="I227" s="14">
        <f>IF(AND(A227&gt;0,A227&lt;=(Drivers!C19+Drivers!C20)),Drivers!C18*(1+Drivers!C23)^(A227/12),0)</f>
        <v>0</v>
      </c>
      <c r="J227" s="14">
        <f t="shared" si="1"/>
        <v>0</v>
      </c>
      <c r="K227" s="12">
        <f>IF(A227&gt;(Drivers!C19+Drivers!C20),MIN(1,0.5+0.5*(A227-(Drivers!C19+Drivers!C20))/Drivers!C39),0)</f>
        <v>1</v>
      </c>
      <c r="L227" s="14">
        <f>Drivers!C2*(B227-B226)*Drivers!C24*(1+Drivers!C22)^(A227/12)*Drivers!C25*K227</f>
        <v>1047735.889</v>
      </c>
      <c r="M227" s="14">
        <f>L227*Drivers!C26</f>
        <v>209547.1777</v>
      </c>
      <c r="N227" s="14">
        <f>(L227+M227)*Drivers!C27</f>
        <v>440049.0732</v>
      </c>
      <c r="O227" s="14">
        <f>IF(A227&gt;(Drivers!C19+Drivers!C20),Drivers!C28/12*(1+Drivers!C23)^(A227/12),0)</f>
        <v>695430.6973</v>
      </c>
      <c r="P227" s="14">
        <f>(L227+M227)*Drivers!C29</f>
        <v>50291.32265</v>
      </c>
      <c r="Q227" s="14">
        <f>Drivers!C3*Drivers!C30*(1+Drivers!C22)^(A227/12)*Drivers!C31*(1-Drivers!C32 )*K227</f>
        <v>79800.67251</v>
      </c>
      <c r="R227" s="14">
        <f>IF(A227&gt;(Drivers!C19+Drivers!C20),Drivers!C33/12*(1+Drivers!C23)^(A227/12),0)</f>
        <v>104314.6046</v>
      </c>
      <c r="S227" s="14">
        <f t="shared" si="2"/>
        <v>46998.04104</v>
      </c>
      <c r="T227" s="14">
        <f t="shared" si="6"/>
        <v>0</v>
      </c>
      <c r="U227" s="14">
        <f>IF(AND(A227&gt;Drivers!C19,A227&lt;=(Drivers!C19+Drivers!C20)),Summary!C31*D227,0)</f>
        <v>0</v>
      </c>
      <c r="V227" s="14">
        <f>IF(A227&lt;=(Drivers!C19+Drivers!C20),(T227+U227/2)*Drivers!C36/12,T227*Drivers!C36/12)</f>
        <v>0</v>
      </c>
      <c r="W227" s="14">
        <f>IF(A227&gt;(Drivers!C19+Drivers!C20),MIN(T227,MAX(0,Summary!C32/12-V227)),0)</f>
        <v>0</v>
      </c>
      <c r="X227" s="14">
        <f>IF(A227=(Drivers!C19+1),Summary!C31*Drivers!C38,0)</f>
        <v>0</v>
      </c>
      <c r="Y227" s="14">
        <f t="shared" si="3"/>
        <v>0</v>
      </c>
      <c r="Z227" s="14">
        <f t="shared" si="4"/>
        <v>46998.04104</v>
      </c>
      <c r="AA227" s="14">
        <f t="shared" si="7"/>
        <v>-107888720.2</v>
      </c>
      <c r="AB227" s="14">
        <f t="shared" si="5"/>
        <v>46998.04104</v>
      </c>
      <c r="AC227" s="14">
        <f>(E227+F227+G227+H227)*Drivers!C45</f>
        <v>0</v>
      </c>
      <c r="AD227" s="14">
        <f>IF(A227&lt;=Summary!C18,AB227+IF(A227=Summary!C18,Summary!C40,0),0)</f>
        <v>0</v>
      </c>
      <c r="AE227" s="14">
        <f>IF(A227&lt;=Summary!C18,Z227+IF(A227=Summary!C18,Summary!C40-Y227,0),0)</f>
        <v>0</v>
      </c>
      <c r="AF227" s="14">
        <f>AD227-IF(A227=0,Drivers!C44,0)</f>
        <v>0</v>
      </c>
      <c r="AG227" s="14">
        <f t="shared" si="8"/>
        <v>-106412298.7</v>
      </c>
    </row>
    <row r="228">
      <c r="A228" s="2">
        <v>226.0</v>
      </c>
      <c r="B228" s="15">
        <f>EDATE(Setup!B2,A228)</f>
        <v>53157</v>
      </c>
      <c r="C228" s="2" t="str">
        <f>IF(A228=0,"T0",IF(A228&lt;=Drivers!C19,"Preconstruction",IF(A228&lt;=(Drivers!C19+Drivers!C20),"Construction","Trading")))</f>
        <v>Trading</v>
      </c>
      <c r="D228" s="12">
        <f t="array" ref="D228">IF(AND(A228&gt;Drivers!C19,A228&lt;=(Drivers!C19+Drivers!C20)),SIN(PI()*(A228-Drivers!C19-0.5)/Drivers!C20)/SUMPRODUCT(SIN(PI()*(SEQUENCE(Drivers!C20,1)-0.5)/Drivers!C20)),0)</f>
        <v>0</v>
      </c>
      <c r="E228" s="14">
        <f>(Summary!C10+Summary!C12)*D228*(1+Drivers!C21)^(A228/12)</f>
        <v>0</v>
      </c>
      <c r="F228" s="14">
        <f>IF(AND(A228&gt;0,A228&lt;=Drivers!C19),Summary!C11*Drivers!C40/Drivers!C19*(1+Drivers!C21)^(A228/12),Summary!C11*(1-Drivers!C40 )*D228*(1+Drivers!C21)^(A228/12))</f>
        <v>0</v>
      </c>
      <c r="G228" s="14">
        <f>IF(AND(A228&gt;0,A228&lt;=2),Drivers!C16/2,0)</f>
        <v>0</v>
      </c>
      <c r="H228" s="14">
        <f>IF(A228=(Drivers!C19+Drivers!C20),Drivers!C17*(1+Drivers!C21)^(A228/12),0)</f>
        <v>0</v>
      </c>
      <c r="I228" s="14">
        <f>IF(AND(A228&gt;0,A228&lt;=(Drivers!C19+Drivers!C20)),Drivers!C18*(1+Drivers!C23)^(A228/12),0)</f>
        <v>0</v>
      </c>
      <c r="J228" s="14">
        <f t="shared" si="1"/>
        <v>0</v>
      </c>
      <c r="K228" s="12">
        <f>IF(A228&gt;(Drivers!C19+Drivers!C20),MIN(1,0.5+0.5*(A228-(Drivers!C19+Drivers!C20))/Drivers!C39),0)</f>
        <v>1</v>
      </c>
      <c r="L228" s="14">
        <f>Drivers!C2*(B228-B227)*Drivers!C24*(1+Drivers!C22)^(A228/12)*Drivers!C25*K228</f>
        <v>1017257.326</v>
      </c>
      <c r="M228" s="14">
        <f>L228*Drivers!C26</f>
        <v>203451.4651</v>
      </c>
      <c r="N228" s="14">
        <f>(L228+M228)*Drivers!C27</f>
        <v>427248.0768</v>
      </c>
      <c r="O228" s="14">
        <f>IF(A228&gt;(Drivers!C19+Drivers!C20),Drivers!C28/12*(1+Drivers!C23)^(A228/12),0)</f>
        <v>697707.3564</v>
      </c>
      <c r="P228" s="14">
        <f>(L228+M228)*Drivers!C29</f>
        <v>48828.35163</v>
      </c>
      <c r="Q228" s="14">
        <f>Drivers!C3*Drivers!C30*(1+Drivers!C22)^(A228/12)*Drivers!C31*(1-Drivers!C32 )*K228</f>
        <v>80061.91915</v>
      </c>
      <c r="R228" s="14">
        <f>IF(A228&gt;(Drivers!C19+Drivers!C20),Drivers!C33/12*(1+Drivers!C23)^(A228/12),0)</f>
        <v>104656.1035</v>
      </c>
      <c r="S228" s="14">
        <f t="shared" si="2"/>
        <v>22330.82165</v>
      </c>
      <c r="T228" s="14">
        <f t="shared" si="6"/>
        <v>0</v>
      </c>
      <c r="U228" s="14">
        <f>IF(AND(A228&gt;Drivers!C19,A228&lt;=(Drivers!C19+Drivers!C20)),Summary!C31*D228,0)</f>
        <v>0</v>
      </c>
      <c r="V228" s="14">
        <f>IF(A228&lt;=(Drivers!C19+Drivers!C20),(T228+U228/2)*Drivers!C36/12,T228*Drivers!C36/12)</f>
        <v>0</v>
      </c>
      <c r="W228" s="14">
        <f>IF(A228&gt;(Drivers!C19+Drivers!C20),MIN(T228,MAX(0,Summary!C32/12-V228)),0)</f>
        <v>0</v>
      </c>
      <c r="X228" s="14">
        <f>IF(A228=(Drivers!C19+1),Summary!C31*Drivers!C38,0)</f>
        <v>0</v>
      </c>
      <c r="Y228" s="14">
        <f t="shared" si="3"/>
        <v>0</v>
      </c>
      <c r="Z228" s="14">
        <f t="shared" si="4"/>
        <v>22330.82165</v>
      </c>
      <c r="AA228" s="14">
        <f t="shared" si="7"/>
        <v>-107866389.4</v>
      </c>
      <c r="AB228" s="14">
        <f t="shared" si="5"/>
        <v>22330.82165</v>
      </c>
      <c r="AC228" s="14">
        <f>(E228+F228+G228+H228)*Drivers!C45</f>
        <v>0</v>
      </c>
      <c r="AD228" s="14">
        <f>IF(A228&lt;=Summary!C18,AB228+IF(A228=Summary!C18,Summary!C40,0),0)</f>
        <v>0</v>
      </c>
      <c r="AE228" s="14">
        <f>IF(A228&lt;=Summary!C18,Z228+IF(A228=Summary!C18,Summary!C40-Y228,0),0)</f>
        <v>0</v>
      </c>
      <c r="AF228" s="14">
        <f>AD228-IF(A228=0,Drivers!C44,0)</f>
        <v>0</v>
      </c>
      <c r="AG228" s="14">
        <f t="shared" si="8"/>
        <v>-106389967.9</v>
      </c>
    </row>
    <row r="229">
      <c r="A229" s="2">
        <v>227.0</v>
      </c>
      <c r="B229" s="15">
        <f>EDATE(Setup!B2,A229)</f>
        <v>53188</v>
      </c>
      <c r="C229" s="2" t="str">
        <f>IF(A229=0,"T0",IF(A229&lt;=Drivers!C19,"Preconstruction",IF(A229&lt;=(Drivers!C19+Drivers!C20),"Construction","Trading")))</f>
        <v>Trading</v>
      </c>
      <c r="D229" s="12">
        <f t="array" ref="D229">IF(AND(A229&gt;Drivers!C19,A229&lt;=(Drivers!C19+Drivers!C20)),SIN(PI()*(A229-Drivers!C19-0.5)/Drivers!C20)/SUMPRODUCT(SIN(PI()*(SEQUENCE(Drivers!C20,1)-0.5)/Drivers!C20)),0)</f>
        <v>0</v>
      </c>
      <c r="E229" s="14">
        <f>(Summary!C10+Summary!C12)*D229*(1+Drivers!C21)^(A229/12)</f>
        <v>0</v>
      </c>
      <c r="F229" s="14">
        <f>IF(AND(A229&gt;0,A229&lt;=Drivers!C19),Summary!C11*Drivers!C40/Drivers!C19*(1+Drivers!C21)^(A229/12),Summary!C11*(1-Drivers!C40 )*D229*(1+Drivers!C21)^(A229/12))</f>
        <v>0</v>
      </c>
      <c r="G229" s="14">
        <f>IF(AND(A229&gt;0,A229&lt;=2),Drivers!C16/2,0)</f>
        <v>0</v>
      </c>
      <c r="H229" s="14">
        <f>IF(A229=(Drivers!C19+Drivers!C20),Drivers!C17*(1+Drivers!C21)^(A229/12),0)</f>
        <v>0</v>
      </c>
      <c r="I229" s="14">
        <f>IF(AND(A229&gt;0,A229&lt;=(Drivers!C19+Drivers!C20)),Drivers!C18*(1+Drivers!C23)^(A229/12),0)</f>
        <v>0</v>
      </c>
      <c r="J229" s="14">
        <f t="shared" si="1"/>
        <v>0</v>
      </c>
      <c r="K229" s="12">
        <f>IF(A229&gt;(Drivers!C19+Drivers!C20),MIN(1,0.5+0.5*(A229-(Drivers!C19+Drivers!C20))/Drivers!C39),0)</f>
        <v>1</v>
      </c>
      <c r="L229" s="14">
        <f>Drivers!C2*(B229-B228)*Drivers!C24*(1+Drivers!C22)^(A229/12)*Drivers!C25*K229</f>
        <v>1054607.147</v>
      </c>
      <c r="M229" s="14">
        <f>L229*Drivers!C26</f>
        <v>210921.4294</v>
      </c>
      <c r="N229" s="14">
        <f>(L229+M229)*Drivers!C27</f>
        <v>442935.0017</v>
      </c>
      <c r="O229" s="14">
        <f>IF(A229&gt;(Drivers!C19+Drivers!C20),Drivers!C28/12*(1+Drivers!C23)^(A229/12),0)</f>
        <v>699991.4687</v>
      </c>
      <c r="P229" s="14">
        <f>(L229+M229)*Drivers!C29</f>
        <v>50621.14305</v>
      </c>
      <c r="Q229" s="14">
        <f>Drivers!C3*Drivers!C30*(1+Drivers!C22)^(A229/12)*Drivers!C31*(1-Drivers!C32 )*K229</f>
        <v>80324.02104</v>
      </c>
      <c r="R229" s="14">
        <f>IF(A229&gt;(Drivers!C19+Drivers!C20),Drivers!C33/12*(1+Drivers!C23)^(A229/12),0)</f>
        <v>104998.7203</v>
      </c>
      <c r="S229" s="14">
        <f t="shared" si="2"/>
        <v>47306.26345</v>
      </c>
      <c r="T229" s="14">
        <f t="shared" si="6"/>
        <v>0</v>
      </c>
      <c r="U229" s="14">
        <f>IF(AND(A229&gt;Drivers!C19,A229&lt;=(Drivers!C19+Drivers!C20)),Summary!C31*D229,0)</f>
        <v>0</v>
      </c>
      <c r="V229" s="14">
        <f>IF(A229&lt;=(Drivers!C19+Drivers!C20),(T229+U229/2)*Drivers!C36/12,T229*Drivers!C36/12)</f>
        <v>0</v>
      </c>
      <c r="W229" s="14">
        <f>IF(A229&gt;(Drivers!C19+Drivers!C20),MIN(T229,MAX(0,Summary!C32/12-V229)),0)</f>
        <v>0</v>
      </c>
      <c r="X229" s="14">
        <f>IF(A229=(Drivers!C19+1),Summary!C31*Drivers!C38,0)</f>
        <v>0</v>
      </c>
      <c r="Y229" s="14">
        <f t="shared" si="3"/>
        <v>0</v>
      </c>
      <c r="Z229" s="14">
        <f t="shared" si="4"/>
        <v>47306.26345</v>
      </c>
      <c r="AA229" s="14">
        <f t="shared" si="7"/>
        <v>-107819083.1</v>
      </c>
      <c r="AB229" s="14">
        <f t="shared" si="5"/>
        <v>47306.26345</v>
      </c>
      <c r="AC229" s="14">
        <f>(E229+F229+G229+H229)*Drivers!C45</f>
        <v>0</v>
      </c>
      <c r="AD229" s="14">
        <f>IF(A229&lt;=Summary!C18,AB229+IF(A229=Summary!C18,Summary!C40,0),0)</f>
        <v>0</v>
      </c>
      <c r="AE229" s="14">
        <f>IF(A229&lt;=Summary!C18,Z229+IF(A229=Summary!C18,Summary!C40-Y229,0),0)</f>
        <v>0</v>
      </c>
      <c r="AF229" s="14">
        <f>AD229-IF(A229=0,Drivers!C44,0)</f>
        <v>0</v>
      </c>
      <c r="AG229" s="14">
        <f t="shared" si="8"/>
        <v>-106342661.6</v>
      </c>
    </row>
    <row r="230">
      <c r="A230" s="2">
        <v>228.0</v>
      </c>
      <c r="B230" s="15">
        <f>EDATE(Setup!B2,A230)</f>
        <v>53219</v>
      </c>
      <c r="C230" s="2" t="str">
        <f>IF(A230=0,"T0",IF(A230&lt;=Drivers!C19,"Preconstruction",IF(A230&lt;=(Drivers!C19+Drivers!C20),"Construction","Trading")))</f>
        <v>Trading</v>
      </c>
      <c r="D230" s="12">
        <f t="array" ref="D230">IF(AND(A230&gt;Drivers!C19,A230&lt;=(Drivers!C19+Drivers!C20)),SIN(PI()*(A230-Drivers!C19-0.5)/Drivers!C20)/SUMPRODUCT(SIN(PI()*(SEQUENCE(Drivers!C20,1)-0.5)/Drivers!C20)),0)</f>
        <v>0</v>
      </c>
      <c r="E230" s="14">
        <f>(Summary!C10+Summary!C12)*D230*(1+Drivers!C21)^(A230/12)</f>
        <v>0</v>
      </c>
      <c r="F230" s="14">
        <f>IF(AND(A230&gt;0,A230&lt;=Drivers!C19),Summary!C11*Drivers!C40/Drivers!C19*(1+Drivers!C21)^(A230/12),Summary!C11*(1-Drivers!C40 )*D230*(1+Drivers!C21)^(A230/12))</f>
        <v>0</v>
      </c>
      <c r="G230" s="14">
        <f>IF(AND(A230&gt;0,A230&lt;=2),Drivers!C16/2,0)</f>
        <v>0</v>
      </c>
      <c r="H230" s="14">
        <f>IF(A230=(Drivers!C19+Drivers!C20),Drivers!C17*(1+Drivers!C21)^(A230/12),0)</f>
        <v>0</v>
      </c>
      <c r="I230" s="14">
        <f>IF(AND(A230&gt;0,A230&lt;=(Drivers!C19+Drivers!C20)),Drivers!C18*(1+Drivers!C23)^(A230/12),0)</f>
        <v>0</v>
      </c>
      <c r="J230" s="14">
        <f t="shared" si="1"/>
        <v>0</v>
      </c>
      <c r="K230" s="12">
        <f>IF(A230&gt;(Drivers!C19+Drivers!C20),MIN(1,0.5+0.5*(A230-(Drivers!C19+Drivers!C20))/Drivers!C39),0)</f>
        <v>1</v>
      </c>
      <c r="L230" s="14">
        <f>Drivers!C2*(B230-B229)*Drivers!C24*(1+Drivers!C22)^(A230/12)*Drivers!C25*K230</f>
        <v>1058059.656</v>
      </c>
      <c r="M230" s="14">
        <f>L230*Drivers!C26</f>
        <v>211611.9312</v>
      </c>
      <c r="N230" s="14">
        <f>(L230+M230)*Drivers!C27</f>
        <v>444385.0556</v>
      </c>
      <c r="O230" s="14">
        <f>IF(A230&gt;(Drivers!C19+Drivers!C20),Drivers!C28/12*(1+Drivers!C23)^(A230/12),0)</f>
        <v>702283.0587</v>
      </c>
      <c r="P230" s="14">
        <f>(L230+M230)*Drivers!C29</f>
        <v>50786.8635</v>
      </c>
      <c r="Q230" s="14">
        <f>Drivers!C3*Drivers!C30*(1+Drivers!C22)^(A230/12)*Drivers!C31*(1-Drivers!C32 )*K230</f>
        <v>80586.98098</v>
      </c>
      <c r="R230" s="14">
        <f>IF(A230&gt;(Drivers!C19+Drivers!C20),Drivers!C33/12*(1+Drivers!C23)^(A230/12),0)</f>
        <v>105342.4588</v>
      </c>
      <c r="S230" s="14">
        <f t="shared" si="2"/>
        <v>47461.13184</v>
      </c>
      <c r="T230" s="14">
        <f t="shared" si="6"/>
        <v>0</v>
      </c>
      <c r="U230" s="14">
        <f>IF(AND(A230&gt;Drivers!C19,A230&lt;=(Drivers!C19+Drivers!C20)),Summary!C31*D230,0)</f>
        <v>0</v>
      </c>
      <c r="V230" s="14">
        <f>IF(A230&lt;=(Drivers!C19+Drivers!C20),(T230+U230/2)*Drivers!C36/12,T230*Drivers!C36/12)</f>
        <v>0</v>
      </c>
      <c r="W230" s="14">
        <f>IF(A230&gt;(Drivers!C19+Drivers!C20),MIN(T230,MAX(0,Summary!C32/12-V230)),0)</f>
        <v>0</v>
      </c>
      <c r="X230" s="14">
        <f>IF(A230=(Drivers!C19+1),Summary!C31*Drivers!C38,0)</f>
        <v>0</v>
      </c>
      <c r="Y230" s="14">
        <f t="shared" si="3"/>
        <v>0</v>
      </c>
      <c r="Z230" s="14">
        <f t="shared" si="4"/>
        <v>47461.13184</v>
      </c>
      <c r="AA230" s="14">
        <f t="shared" si="7"/>
        <v>-107771622</v>
      </c>
      <c r="AB230" s="14">
        <f t="shared" si="5"/>
        <v>47461.13184</v>
      </c>
      <c r="AC230" s="14">
        <f>(E230+F230+G230+H230)*Drivers!C45</f>
        <v>0</v>
      </c>
      <c r="AD230" s="14">
        <f>IF(A230&lt;=Summary!C18,AB230+IF(A230=Summary!C18,Summary!C40,0),0)</f>
        <v>0</v>
      </c>
      <c r="AE230" s="14">
        <f>IF(A230&lt;=Summary!C18,Z230+IF(A230=Summary!C18,Summary!C40-Y230,0),0)</f>
        <v>0</v>
      </c>
      <c r="AF230" s="14">
        <f>AD230-IF(A230=0,Drivers!C44,0)</f>
        <v>0</v>
      </c>
      <c r="AG230" s="14">
        <f t="shared" si="8"/>
        <v>-106295200.5</v>
      </c>
    </row>
    <row r="231">
      <c r="A231" s="2">
        <v>229.0</v>
      </c>
      <c r="B231" s="15">
        <f>EDATE(Setup!B2,A231)</f>
        <v>53249</v>
      </c>
      <c r="C231" s="2" t="str">
        <f>IF(A231=0,"T0",IF(A231&lt;=Drivers!C19,"Preconstruction",IF(A231&lt;=(Drivers!C19+Drivers!C20),"Construction","Trading")))</f>
        <v>Trading</v>
      </c>
      <c r="D231" s="12">
        <f t="array" ref="D231">IF(AND(A231&gt;Drivers!C19,A231&lt;=(Drivers!C19+Drivers!C20)),SIN(PI()*(A231-Drivers!C19-0.5)/Drivers!C20)/SUMPRODUCT(SIN(PI()*(SEQUENCE(Drivers!C20,1)-0.5)/Drivers!C20)),0)</f>
        <v>0</v>
      </c>
      <c r="E231" s="14">
        <f>(Summary!C10+Summary!C12)*D231*(1+Drivers!C21)^(A231/12)</f>
        <v>0</v>
      </c>
      <c r="F231" s="14">
        <f>IF(AND(A231&gt;0,A231&lt;=Drivers!C19),Summary!C11*Drivers!C40/Drivers!C19*(1+Drivers!C21)^(A231/12),Summary!C11*(1-Drivers!C40 )*D231*(1+Drivers!C21)^(A231/12))</f>
        <v>0</v>
      </c>
      <c r="G231" s="14">
        <f>IF(AND(A231&gt;0,A231&lt;=2),Drivers!C16/2,0)</f>
        <v>0</v>
      </c>
      <c r="H231" s="14">
        <f>IF(A231=(Drivers!C19+Drivers!C20),Drivers!C17*(1+Drivers!C21)^(A231/12),0)</f>
        <v>0</v>
      </c>
      <c r="I231" s="14">
        <f>IF(AND(A231&gt;0,A231&lt;=(Drivers!C19+Drivers!C20)),Drivers!C18*(1+Drivers!C23)^(A231/12),0)</f>
        <v>0</v>
      </c>
      <c r="J231" s="14">
        <f t="shared" si="1"/>
        <v>0</v>
      </c>
      <c r="K231" s="12">
        <f>IF(A231&gt;(Drivers!C19+Drivers!C20),MIN(1,0.5+0.5*(A231-(Drivers!C19+Drivers!C20))/Drivers!C39),0)</f>
        <v>1</v>
      </c>
      <c r="L231" s="14">
        <f>Drivers!C2*(B231-B230)*Drivers!C24*(1+Drivers!C22)^(A231/12)*Drivers!C25*K231</f>
        <v>1027280.776</v>
      </c>
      <c r="M231" s="14">
        <f>L231*Drivers!C26</f>
        <v>205456.1551</v>
      </c>
      <c r="N231" s="14">
        <f>(L231+M231)*Drivers!C27</f>
        <v>431457.9258</v>
      </c>
      <c r="O231" s="14">
        <f>IF(A231&gt;(Drivers!C19+Drivers!C20),Drivers!C28/12*(1+Drivers!C23)^(A231/12),0)</f>
        <v>704582.1507</v>
      </c>
      <c r="P231" s="14">
        <f>(L231+M231)*Drivers!C29</f>
        <v>49309.47723</v>
      </c>
      <c r="Q231" s="14">
        <f>Drivers!C3*Drivers!C30*(1+Drivers!C22)^(A231/12)*Drivers!C31*(1-Drivers!C32 )*K231</f>
        <v>80850.80179</v>
      </c>
      <c r="R231" s="14">
        <f>IF(A231&gt;(Drivers!C19+Drivers!C20),Drivers!C33/12*(1+Drivers!C23)^(A231/12),0)</f>
        <v>105687.3226</v>
      </c>
      <c r="S231" s="14">
        <f t="shared" si="2"/>
        <v>22550.85631</v>
      </c>
      <c r="T231" s="14">
        <f t="shared" si="6"/>
        <v>0</v>
      </c>
      <c r="U231" s="14">
        <f>IF(AND(A231&gt;Drivers!C19,A231&lt;=(Drivers!C19+Drivers!C20)),Summary!C31*D231,0)</f>
        <v>0</v>
      </c>
      <c r="V231" s="14">
        <f>IF(A231&lt;=(Drivers!C19+Drivers!C20),(T231+U231/2)*Drivers!C36/12,T231*Drivers!C36/12)</f>
        <v>0</v>
      </c>
      <c r="W231" s="14">
        <f>IF(A231&gt;(Drivers!C19+Drivers!C20),MIN(T231,MAX(0,Summary!C32/12-V231)),0)</f>
        <v>0</v>
      </c>
      <c r="X231" s="14">
        <f>IF(A231=(Drivers!C19+1),Summary!C31*Drivers!C38,0)</f>
        <v>0</v>
      </c>
      <c r="Y231" s="14">
        <f t="shared" si="3"/>
        <v>0</v>
      </c>
      <c r="Z231" s="14">
        <f t="shared" si="4"/>
        <v>22550.85631</v>
      </c>
      <c r="AA231" s="14">
        <f t="shared" si="7"/>
        <v>-107749071.1</v>
      </c>
      <c r="AB231" s="14">
        <f t="shared" si="5"/>
        <v>22550.85631</v>
      </c>
      <c r="AC231" s="14">
        <f>(E231+F231+G231+H231)*Drivers!C45</f>
        <v>0</v>
      </c>
      <c r="AD231" s="14">
        <f>IF(A231&lt;=Summary!C18,AB231+IF(A231=Summary!C18,Summary!C40,0),0)</f>
        <v>0</v>
      </c>
      <c r="AE231" s="14">
        <f>IF(A231&lt;=Summary!C18,Z231+IF(A231=Summary!C18,Summary!C40-Y231,0),0)</f>
        <v>0</v>
      </c>
      <c r="AF231" s="14">
        <f>AD231-IF(A231=0,Drivers!C44,0)</f>
        <v>0</v>
      </c>
      <c r="AG231" s="14">
        <f t="shared" si="8"/>
        <v>-106272649.6</v>
      </c>
    </row>
    <row r="232">
      <c r="A232" s="2">
        <v>230.0</v>
      </c>
      <c r="B232" s="15">
        <f>EDATE(Setup!B2,A232)</f>
        <v>53280</v>
      </c>
      <c r="C232" s="2" t="str">
        <f>IF(A232=0,"T0",IF(A232&lt;=Drivers!C19,"Preconstruction",IF(A232&lt;=(Drivers!C19+Drivers!C20),"Construction","Trading")))</f>
        <v>Trading</v>
      </c>
      <c r="D232" s="12">
        <f t="array" ref="D232">IF(AND(A232&gt;Drivers!C19,A232&lt;=(Drivers!C19+Drivers!C20)),SIN(PI()*(A232-Drivers!C19-0.5)/Drivers!C20)/SUMPRODUCT(SIN(PI()*(SEQUENCE(Drivers!C20,1)-0.5)/Drivers!C20)),0)</f>
        <v>0</v>
      </c>
      <c r="E232" s="14">
        <f>(Summary!C10+Summary!C12)*D232*(1+Drivers!C21)^(A232/12)</f>
        <v>0</v>
      </c>
      <c r="F232" s="14">
        <f>IF(AND(A232&gt;0,A232&lt;=Drivers!C19),Summary!C11*Drivers!C40/Drivers!C19*(1+Drivers!C21)^(A232/12),Summary!C11*(1-Drivers!C40 )*D232*(1+Drivers!C21)^(A232/12))</f>
        <v>0</v>
      </c>
      <c r="G232" s="14">
        <f>IF(AND(A232&gt;0,A232&lt;=2),Drivers!C16/2,0)</f>
        <v>0</v>
      </c>
      <c r="H232" s="14">
        <f>IF(A232=(Drivers!C19+Drivers!C20),Drivers!C17*(1+Drivers!C21)^(A232/12),0)</f>
        <v>0</v>
      </c>
      <c r="I232" s="14">
        <f>IF(AND(A232&gt;0,A232&lt;=(Drivers!C19+Drivers!C20)),Drivers!C18*(1+Drivers!C23)^(A232/12),0)</f>
        <v>0</v>
      </c>
      <c r="J232" s="14">
        <f t="shared" si="1"/>
        <v>0</v>
      </c>
      <c r="K232" s="12">
        <f>IF(A232&gt;(Drivers!C19+Drivers!C20),MIN(1,0.5+0.5*(A232-(Drivers!C19+Drivers!C20))/Drivers!C39),0)</f>
        <v>1</v>
      </c>
      <c r="L232" s="14">
        <f>Drivers!C2*(B232-B231)*Drivers!C24*(1+Drivers!C22)^(A232/12)*Drivers!C25*K232</f>
        <v>1064998.62</v>
      </c>
      <c r="M232" s="14">
        <f>L232*Drivers!C26</f>
        <v>212999.724</v>
      </c>
      <c r="N232" s="14">
        <f>(L232+M232)*Drivers!C27</f>
        <v>447299.4203</v>
      </c>
      <c r="O232" s="14">
        <f>IF(A232&gt;(Drivers!C19+Drivers!C20),Drivers!C28/12*(1+Drivers!C23)^(A232/12),0)</f>
        <v>706888.7693</v>
      </c>
      <c r="P232" s="14">
        <f>(L232+M232)*Drivers!C29</f>
        <v>51119.93375</v>
      </c>
      <c r="Q232" s="14">
        <f>Drivers!C3*Drivers!C30*(1+Drivers!C22)^(A232/12)*Drivers!C31*(1-Drivers!C32 )*K232</f>
        <v>81115.48627</v>
      </c>
      <c r="R232" s="14">
        <f>IF(A232&gt;(Drivers!C19+Drivers!C20),Drivers!C33/12*(1+Drivers!C23)^(A232/12),0)</f>
        <v>106033.3154</v>
      </c>
      <c r="S232" s="14">
        <f t="shared" si="2"/>
        <v>47772.39129</v>
      </c>
      <c r="T232" s="14">
        <f t="shared" si="6"/>
        <v>0</v>
      </c>
      <c r="U232" s="14">
        <f>IF(AND(A232&gt;Drivers!C19,A232&lt;=(Drivers!C19+Drivers!C20)),Summary!C31*D232,0)</f>
        <v>0</v>
      </c>
      <c r="V232" s="14">
        <f>IF(A232&lt;=(Drivers!C19+Drivers!C20),(T232+U232/2)*Drivers!C36/12,T232*Drivers!C36/12)</f>
        <v>0</v>
      </c>
      <c r="W232" s="14">
        <f>IF(A232&gt;(Drivers!C19+Drivers!C20),MIN(T232,MAX(0,Summary!C32/12-V232)),0)</f>
        <v>0</v>
      </c>
      <c r="X232" s="14">
        <f>IF(A232=(Drivers!C19+1),Summary!C31*Drivers!C38,0)</f>
        <v>0</v>
      </c>
      <c r="Y232" s="14">
        <f t="shared" si="3"/>
        <v>0</v>
      </c>
      <c r="Z232" s="14">
        <f t="shared" si="4"/>
        <v>47772.39129</v>
      </c>
      <c r="AA232" s="14">
        <f t="shared" si="7"/>
        <v>-107701298.7</v>
      </c>
      <c r="AB232" s="14">
        <f t="shared" si="5"/>
        <v>47772.39129</v>
      </c>
      <c r="AC232" s="14">
        <f>(E232+F232+G232+H232)*Drivers!C45</f>
        <v>0</v>
      </c>
      <c r="AD232" s="14">
        <f>IF(A232&lt;=Summary!C18,AB232+IF(A232=Summary!C18,Summary!C40,0),0)</f>
        <v>0</v>
      </c>
      <c r="AE232" s="14">
        <f>IF(A232&lt;=Summary!C18,Z232+IF(A232=Summary!C18,Summary!C40-Y232,0),0)</f>
        <v>0</v>
      </c>
      <c r="AF232" s="14">
        <f>AD232-IF(A232=0,Drivers!C44,0)</f>
        <v>0</v>
      </c>
      <c r="AG232" s="14">
        <f t="shared" si="8"/>
        <v>-106224877.2</v>
      </c>
    </row>
    <row r="233">
      <c r="A233" s="2">
        <v>231.0</v>
      </c>
      <c r="B233" s="15">
        <f>EDATE(Setup!B2,A233)</f>
        <v>53310</v>
      </c>
      <c r="C233" s="2" t="str">
        <f>IF(A233=0,"T0",IF(A233&lt;=Drivers!C19,"Preconstruction",IF(A233&lt;=(Drivers!C19+Drivers!C20),"Construction","Trading")))</f>
        <v>Trading</v>
      </c>
      <c r="D233" s="12">
        <f t="array" ref="D233">IF(AND(A233&gt;Drivers!C19,A233&lt;=(Drivers!C19+Drivers!C20)),SIN(PI()*(A233-Drivers!C19-0.5)/Drivers!C20)/SUMPRODUCT(SIN(PI()*(SEQUENCE(Drivers!C20,1)-0.5)/Drivers!C20)),0)</f>
        <v>0</v>
      </c>
      <c r="E233" s="14">
        <f>(Summary!C10+Summary!C12)*D233*(1+Drivers!C21)^(A233/12)</f>
        <v>0</v>
      </c>
      <c r="F233" s="14">
        <f>IF(AND(A233&gt;0,A233&lt;=Drivers!C19),Summary!C11*Drivers!C40/Drivers!C19*(1+Drivers!C21)^(A233/12),Summary!C11*(1-Drivers!C40 )*D233*(1+Drivers!C21)^(A233/12))</f>
        <v>0</v>
      </c>
      <c r="G233" s="14">
        <f>IF(AND(A233&gt;0,A233&lt;=2),Drivers!C16/2,0)</f>
        <v>0</v>
      </c>
      <c r="H233" s="14">
        <f>IF(A233=(Drivers!C19+Drivers!C20),Drivers!C17*(1+Drivers!C21)^(A233/12),0)</f>
        <v>0</v>
      </c>
      <c r="I233" s="14">
        <f>IF(AND(A233&gt;0,A233&lt;=(Drivers!C19+Drivers!C20)),Drivers!C18*(1+Drivers!C23)^(A233/12),0)</f>
        <v>0</v>
      </c>
      <c r="J233" s="14">
        <f t="shared" si="1"/>
        <v>0</v>
      </c>
      <c r="K233" s="12">
        <f>IF(A233&gt;(Drivers!C19+Drivers!C20),MIN(1,0.5+0.5*(A233-(Drivers!C19+Drivers!C20))/Drivers!C39),0)</f>
        <v>1</v>
      </c>
      <c r="L233" s="14">
        <f>Drivers!C2*(B233-B232)*Drivers!C24*(1+Drivers!C22)^(A233/12)*Drivers!C25*K233</f>
        <v>1034017.885</v>
      </c>
      <c r="M233" s="14">
        <f>L233*Drivers!C26</f>
        <v>206803.5771</v>
      </c>
      <c r="N233" s="14">
        <f>(L233+M233)*Drivers!C27</f>
        <v>434287.5118</v>
      </c>
      <c r="O233" s="14">
        <f>IF(A233&gt;(Drivers!C19+Drivers!C20),Drivers!C28/12*(1+Drivers!C23)^(A233/12),0)</f>
        <v>709202.9392</v>
      </c>
      <c r="P233" s="14">
        <f>(L233+M233)*Drivers!C29</f>
        <v>49632.85849</v>
      </c>
      <c r="Q233" s="14">
        <f>Drivers!C3*Drivers!C30*(1+Drivers!C22)^(A233/12)*Drivers!C31*(1-Drivers!C32 )*K233</f>
        <v>81381.03727</v>
      </c>
      <c r="R233" s="14">
        <f>IF(A233&gt;(Drivers!C19+Drivers!C20),Drivers!C33/12*(1+Drivers!C23)^(A233/12),0)</f>
        <v>106380.4409</v>
      </c>
      <c r="S233" s="14">
        <f t="shared" si="2"/>
        <v>22698.74927</v>
      </c>
      <c r="T233" s="14">
        <f t="shared" si="6"/>
        <v>0</v>
      </c>
      <c r="U233" s="14">
        <f>IF(AND(A233&gt;Drivers!C19,A233&lt;=(Drivers!C19+Drivers!C20)),Summary!C31*D233,0)</f>
        <v>0</v>
      </c>
      <c r="V233" s="14">
        <f>IF(A233&lt;=(Drivers!C19+Drivers!C20),(T233+U233/2)*Drivers!C36/12,T233*Drivers!C36/12)</f>
        <v>0</v>
      </c>
      <c r="W233" s="14">
        <f>IF(A233&gt;(Drivers!C19+Drivers!C20),MIN(T233,MAX(0,Summary!C32/12-V233)),0)</f>
        <v>0</v>
      </c>
      <c r="X233" s="14">
        <f>IF(A233=(Drivers!C19+1),Summary!C31*Drivers!C38,0)</f>
        <v>0</v>
      </c>
      <c r="Y233" s="14">
        <f t="shared" si="3"/>
        <v>0</v>
      </c>
      <c r="Z233" s="14">
        <f t="shared" si="4"/>
        <v>22698.74927</v>
      </c>
      <c r="AA233" s="14">
        <f t="shared" si="7"/>
        <v>-107678600</v>
      </c>
      <c r="AB233" s="14">
        <f t="shared" si="5"/>
        <v>22698.74927</v>
      </c>
      <c r="AC233" s="14">
        <f>(E233+F233+G233+H233)*Drivers!C45</f>
        <v>0</v>
      </c>
      <c r="AD233" s="14">
        <f>IF(A233&lt;=Summary!C18,AB233+IF(A233=Summary!C18,Summary!C40,0),0)</f>
        <v>0</v>
      </c>
      <c r="AE233" s="14">
        <f>IF(A233&lt;=Summary!C18,Z233+IF(A233=Summary!C18,Summary!C40-Y233,0),0)</f>
        <v>0</v>
      </c>
      <c r="AF233" s="14">
        <f>AD233-IF(A233=0,Drivers!C44,0)</f>
        <v>0</v>
      </c>
      <c r="AG233" s="14">
        <f t="shared" si="8"/>
        <v>-106202178.5</v>
      </c>
    </row>
    <row r="234">
      <c r="A234" s="2">
        <v>232.0</v>
      </c>
      <c r="B234" s="15">
        <f>EDATE(Setup!B2,A234)</f>
        <v>53341</v>
      </c>
      <c r="C234" s="2" t="str">
        <f>IF(A234=0,"T0",IF(A234&lt;=Drivers!C19,"Preconstruction",IF(A234&lt;=(Drivers!C19+Drivers!C20),"Construction","Trading")))</f>
        <v>Trading</v>
      </c>
      <c r="D234" s="12">
        <f t="array" ref="D234">IF(AND(A234&gt;Drivers!C19,A234&lt;=(Drivers!C19+Drivers!C20)),SIN(PI()*(A234-Drivers!C19-0.5)/Drivers!C20)/SUMPRODUCT(SIN(PI()*(SEQUENCE(Drivers!C20,1)-0.5)/Drivers!C20)),0)</f>
        <v>0</v>
      </c>
      <c r="E234" s="14">
        <f>(Summary!C10+Summary!C12)*D234*(1+Drivers!C21)^(A234/12)</f>
        <v>0</v>
      </c>
      <c r="F234" s="14">
        <f>IF(AND(A234&gt;0,A234&lt;=Drivers!C19),Summary!C11*Drivers!C40/Drivers!C19*(1+Drivers!C21)^(A234/12),Summary!C11*(1-Drivers!C40 )*D234*(1+Drivers!C21)^(A234/12))</f>
        <v>0</v>
      </c>
      <c r="G234" s="14">
        <f>IF(AND(A234&gt;0,A234&lt;=2),Drivers!C16/2,0)</f>
        <v>0</v>
      </c>
      <c r="H234" s="14">
        <f>IF(A234=(Drivers!C19+Drivers!C20),Drivers!C17*(1+Drivers!C21)^(A234/12),0)</f>
        <v>0</v>
      </c>
      <c r="I234" s="14">
        <f>IF(AND(A234&gt;0,A234&lt;=(Drivers!C19+Drivers!C20)),Drivers!C18*(1+Drivers!C23)^(A234/12),0)</f>
        <v>0</v>
      </c>
      <c r="J234" s="14">
        <f t="shared" si="1"/>
        <v>0</v>
      </c>
      <c r="K234" s="12">
        <f>IF(A234&gt;(Drivers!C19+Drivers!C20),MIN(1,0.5+0.5*(A234-(Drivers!C19+Drivers!C20))/Drivers!C39),0)</f>
        <v>1</v>
      </c>
      <c r="L234" s="14">
        <f>Drivers!C2*(B234-B233)*Drivers!C24*(1+Drivers!C22)^(A234/12)*Drivers!C25*K234</f>
        <v>1071983.09</v>
      </c>
      <c r="M234" s="14">
        <f>L234*Drivers!C26</f>
        <v>214396.6181</v>
      </c>
      <c r="N234" s="14">
        <f>(L234+M234)*Drivers!C27</f>
        <v>450232.898</v>
      </c>
      <c r="O234" s="14">
        <f>IF(A234&gt;(Drivers!C19+Drivers!C20),Drivers!C28/12*(1+Drivers!C23)^(A234/12),0)</f>
        <v>711524.685</v>
      </c>
      <c r="P234" s="14">
        <f>(L234+M234)*Drivers!C29</f>
        <v>51455.18834</v>
      </c>
      <c r="Q234" s="14">
        <f>Drivers!C3*Drivers!C30*(1+Drivers!C22)^(A234/12)*Drivers!C31*(1-Drivers!C32 )*K234</f>
        <v>81647.45761</v>
      </c>
      <c r="R234" s="14">
        <f>IF(A234&gt;(Drivers!C19+Drivers!C20),Drivers!C33/12*(1+Drivers!C23)^(A234/12),0)</f>
        <v>106728.7028</v>
      </c>
      <c r="S234" s="14">
        <f t="shared" si="2"/>
        <v>48085.69204</v>
      </c>
      <c r="T234" s="14">
        <f t="shared" si="6"/>
        <v>0</v>
      </c>
      <c r="U234" s="14">
        <f>IF(AND(A234&gt;Drivers!C19,A234&lt;=(Drivers!C19+Drivers!C20)),Summary!C31*D234,0)</f>
        <v>0</v>
      </c>
      <c r="V234" s="14">
        <f>IF(A234&lt;=(Drivers!C19+Drivers!C20),(T234+U234/2)*Drivers!C36/12,T234*Drivers!C36/12)</f>
        <v>0</v>
      </c>
      <c r="W234" s="14">
        <f>IF(A234&gt;(Drivers!C19+Drivers!C20),MIN(T234,MAX(0,Summary!C32/12-V234)),0)</f>
        <v>0</v>
      </c>
      <c r="X234" s="14">
        <f>IF(A234=(Drivers!C19+1),Summary!C31*Drivers!C38,0)</f>
        <v>0</v>
      </c>
      <c r="Y234" s="14">
        <f t="shared" si="3"/>
        <v>0</v>
      </c>
      <c r="Z234" s="14">
        <f t="shared" si="4"/>
        <v>48085.69204</v>
      </c>
      <c r="AA234" s="14">
        <f t="shared" si="7"/>
        <v>-107630514.3</v>
      </c>
      <c r="AB234" s="14">
        <f t="shared" si="5"/>
        <v>48085.69204</v>
      </c>
      <c r="AC234" s="14">
        <f>(E234+F234+G234+H234)*Drivers!C45</f>
        <v>0</v>
      </c>
      <c r="AD234" s="14">
        <f>IF(A234&lt;=Summary!C18,AB234+IF(A234=Summary!C18,Summary!C40,0),0)</f>
        <v>0</v>
      </c>
      <c r="AE234" s="14">
        <f>IF(A234&lt;=Summary!C18,Z234+IF(A234=Summary!C18,Summary!C40-Y234,0),0)</f>
        <v>0</v>
      </c>
      <c r="AF234" s="14">
        <f>AD234-IF(A234=0,Drivers!C44,0)</f>
        <v>0</v>
      </c>
      <c r="AG234" s="14">
        <f t="shared" si="8"/>
        <v>-106154092.8</v>
      </c>
    </row>
    <row r="235">
      <c r="A235" s="2">
        <v>233.0</v>
      </c>
      <c r="B235" s="15">
        <f>EDATE(Setup!B2,A235)</f>
        <v>53372</v>
      </c>
      <c r="C235" s="2" t="str">
        <f>IF(A235=0,"T0",IF(A235&lt;=Drivers!C19,"Preconstruction",IF(A235&lt;=(Drivers!C19+Drivers!C20),"Construction","Trading")))</f>
        <v>Trading</v>
      </c>
      <c r="D235" s="12">
        <f t="array" ref="D235">IF(AND(A235&gt;Drivers!C19,A235&lt;=(Drivers!C19+Drivers!C20)),SIN(PI()*(A235-Drivers!C19-0.5)/Drivers!C20)/SUMPRODUCT(SIN(PI()*(SEQUENCE(Drivers!C20,1)-0.5)/Drivers!C20)),0)</f>
        <v>0</v>
      </c>
      <c r="E235" s="14">
        <f>(Summary!C10+Summary!C12)*D235*(1+Drivers!C21)^(A235/12)</f>
        <v>0</v>
      </c>
      <c r="F235" s="14">
        <f>IF(AND(A235&gt;0,A235&lt;=Drivers!C19),Summary!C11*Drivers!C40/Drivers!C19*(1+Drivers!C21)^(A235/12),Summary!C11*(1-Drivers!C40 )*D235*(1+Drivers!C21)^(A235/12))</f>
        <v>0</v>
      </c>
      <c r="G235" s="14">
        <f>IF(AND(A235&gt;0,A235&lt;=2),Drivers!C16/2,0)</f>
        <v>0</v>
      </c>
      <c r="H235" s="14">
        <f>IF(A235=(Drivers!C19+Drivers!C20),Drivers!C17*(1+Drivers!C21)^(A235/12),0)</f>
        <v>0</v>
      </c>
      <c r="I235" s="14">
        <f>IF(AND(A235&gt;0,A235&lt;=(Drivers!C19+Drivers!C20)),Drivers!C18*(1+Drivers!C23)^(A235/12),0)</f>
        <v>0</v>
      </c>
      <c r="J235" s="14">
        <f t="shared" si="1"/>
        <v>0</v>
      </c>
      <c r="K235" s="12">
        <f>IF(A235&gt;(Drivers!C19+Drivers!C20),MIN(1,0.5+0.5*(A235-(Drivers!C19+Drivers!C20))/Drivers!C39),0)</f>
        <v>1</v>
      </c>
      <c r="L235" s="14">
        <f>Drivers!C2*(B235-B234)*Drivers!C24*(1+Drivers!C22)^(A235/12)*Drivers!C25*K235</f>
        <v>1075492.484</v>
      </c>
      <c r="M235" s="14">
        <f>L235*Drivers!C26</f>
        <v>215098.4968</v>
      </c>
      <c r="N235" s="14">
        <f>(L235+M235)*Drivers!C27</f>
        <v>451706.8433</v>
      </c>
      <c r="O235" s="14">
        <f>IF(A235&gt;(Drivers!C19+Drivers!C20),Drivers!C28/12*(1+Drivers!C23)^(A235/12),0)</f>
        <v>713854.0317</v>
      </c>
      <c r="P235" s="14">
        <f>(L235+M235)*Drivers!C29</f>
        <v>51623.63924</v>
      </c>
      <c r="Q235" s="14">
        <f>Drivers!C3*Drivers!C30*(1+Drivers!C22)^(A235/12)*Drivers!C31*(1-Drivers!C32 )*K235</f>
        <v>81914.75014</v>
      </c>
      <c r="R235" s="14">
        <f>IF(A235&gt;(Drivers!C19+Drivers!C20),Drivers!C33/12*(1+Drivers!C23)^(A235/12),0)</f>
        <v>107078.1048</v>
      </c>
      <c r="S235" s="14">
        <f t="shared" si="2"/>
        <v>48243.11209</v>
      </c>
      <c r="T235" s="14">
        <f t="shared" si="6"/>
        <v>0</v>
      </c>
      <c r="U235" s="14">
        <f>IF(AND(A235&gt;Drivers!C19,A235&lt;=(Drivers!C19+Drivers!C20)),Summary!C31*D235,0)</f>
        <v>0</v>
      </c>
      <c r="V235" s="14">
        <f>IF(A235&lt;=(Drivers!C19+Drivers!C20),(T235+U235/2)*Drivers!C36/12,T235*Drivers!C36/12)</f>
        <v>0</v>
      </c>
      <c r="W235" s="14">
        <f>IF(A235&gt;(Drivers!C19+Drivers!C20),MIN(T235,MAX(0,Summary!C32/12-V235)),0)</f>
        <v>0</v>
      </c>
      <c r="X235" s="14">
        <f>IF(A235=(Drivers!C19+1),Summary!C31*Drivers!C38,0)</f>
        <v>0</v>
      </c>
      <c r="Y235" s="14">
        <f t="shared" si="3"/>
        <v>0</v>
      </c>
      <c r="Z235" s="14">
        <f t="shared" si="4"/>
        <v>48243.11209</v>
      </c>
      <c r="AA235" s="14">
        <f t="shared" si="7"/>
        <v>-107582271.2</v>
      </c>
      <c r="AB235" s="14">
        <f t="shared" si="5"/>
        <v>48243.11209</v>
      </c>
      <c r="AC235" s="14">
        <f>(E235+F235+G235+H235)*Drivers!C45</f>
        <v>0</v>
      </c>
      <c r="AD235" s="14">
        <f>IF(A235&lt;=Summary!C18,AB235+IF(A235=Summary!C18,Summary!C40,0),0)</f>
        <v>0</v>
      </c>
      <c r="AE235" s="14">
        <f>IF(A235&lt;=Summary!C18,Z235+IF(A235=Summary!C18,Summary!C40-Y235,0),0)</f>
        <v>0</v>
      </c>
      <c r="AF235" s="14">
        <f>AD235-IF(A235=0,Drivers!C44,0)</f>
        <v>0</v>
      </c>
      <c r="AG235" s="14">
        <f t="shared" si="8"/>
        <v>-106105849.7</v>
      </c>
    </row>
    <row r="236">
      <c r="A236" s="2">
        <v>234.0</v>
      </c>
      <c r="B236" s="15">
        <f>EDATE(Setup!B2,A236)</f>
        <v>53400</v>
      </c>
      <c r="C236" s="2" t="str">
        <f>IF(A236=0,"T0",IF(A236&lt;=Drivers!C19,"Preconstruction",IF(A236&lt;=(Drivers!C19+Drivers!C20),"Construction","Trading")))</f>
        <v>Trading</v>
      </c>
      <c r="D236" s="12">
        <f t="array" ref="D236">IF(AND(A236&gt;Drivers!C19,A236&lt;=(Drivers!C19+Drivers!C20)),SIN(PI()*(A236-Drivers!C19-0.5)/Drivers!C20)/SUMPRODUCT(SIN(PI()*(SEQUENCE(Drivers!C20,1)-0.5)/Drivers!C20)),0)</f>
        <v>0</v>
      </c>
      <c r="E236" s="14">
        <f>(Summary!C10+Summary!C12)*D236*(1+Drivers!C21)^(A236/12)</f>
        <v>0</v>
      </c>
      <c r="F236" s="14">
        <f>IF(AND(A236&gt;0,A236&lt;=Drivers!C19),Summary!C11*Drivers!C40/Drivers!C19*(1+Drivers!C21)^(A236/12),Summary!C11*(1-Drivers!C40 )*D236*(1+Drivers!C21)^(A236/12))</f>
        <v>0</v>
      </c>
      <c r="G236" s="14">
        <f>IF(AND(A236&gt;0,A236&lt;=2),Drivers!C16/2,0)</f>
        <v>0</v>
      </c>
      <c r="H236" s="14">
        <f>IF(A236=(Drivers!C19+Drivers!C20),Drivers!C17*(1+Drivers!C21)^(A236/12),0)</f>
        <v>0</v>
      </c>
      <c r="I236" s="14">
        <f>IF(AND(A236&gt;0,A236&lt;=(Drivers!C19+Drivers!C20)),Drivers!C18*(1+Drivers!C23)^(A236/12),0)</f>
        <v>0</v>
      </c>
      <c r="J236" s="14">
        <f t="shared" si="1"/>
        <v>0</v>
      </c>
      <c r="K236" s="12">
        <f>IF(A236&gt;(Drivers!C19+Drivers!C20),MIN(1,0.5+0.5*(A236-(Drivers!C19+Drivers!C20))/Drivers!C39),0)</f>
        <v>1</v>
      </c>
      <c r="L236" s="14">
        <f>Drivers!C2*(B236-B235)*Drivers!C24*(1+Drivers!C22)^(A236/12)*Drivers!C25*K236</f>
        <v>974592.7183</v>
      </c>
      <c r="M236" s="14">
        <f>L236*Drivers!C26</f>
        <v>194918.5437</v>
      </c>
      <c r="N236" s="14">
        <f>(L236+M236)*Drivers!C27</f>
        <v>409328.9417</v>
      </c>
      <c r="O236" s="14">
        <f>IF(A236&gt;(Drivers!C19+Drivers!C20),Drivers!C28/12*(1+Drivers!C23)^(A236/12),0)</f>
        <v>716191.004</v>
      </c>
      <c r="P236" s="14">
        <f>(L236+M236)*Drivers!C29</f>
        <v>46780.45048</v>
      </c>
      <c r="Q236" s="14">
        <f>Drivers!C3*Drivers!C30*(1+Drivers!C22)^(A236/12)*Drivers!C31*(1-Drivers!C32 )*K236</f>
        <v>82182.91771</v>
      </c>
      <c r="R236" s="14">
        <f>IF(A236&gt;(Drivers!C19+Drivers!C20),Drivers!C33/12*(1+Drivers!C23)^(A236/12),0)</f>
        <v>107428.6506</v>
      </c>
      <c r="S236" s="14">
        <f t="shared" si="2"/>
        <v>-28034.86714</v>
      </c>
      <c r="T236" s="14">
        <f t="shared" si="6"/>
        <v>0</v>
      </c>
      <c r="U236" s="14">
        <f>IF(AND(A236&gt;Drivers!C19,A236&lt;=(Drivers!C19+Drivers!C20)),Summary!C31*D236,0)</f>
        <v>0</v>
      </c>
      <c r="V236" s="14">
        <f>IF(A236&lt;=(Drivers!C19+Drivers!C20),(T236+U236/2)*Drivers!C36/12,T236*Drivers!C36/12)</f>
        <v>0</v>
      </c>
      <c r="W236" s="14">
        <f>IF(A236&gt;(Drivers!C19+Drivers!C20),MIN(T236,MAX(0,Summary!C32/12-V236)),0)</f>
        <v>0</v>
      </c>
      <c r="X236" s="14">
        <f>IF(A236=(Drivers!C19+1),Summary!C31*Drivers!C38,0)</f>
        <v>0</v>
      </c>
      <c r="Y236" s="14">
        <f t="shared" si="3"/>
        <v>0</v>
      </c>
      <c r="Z236" s="14">
        <f t="shared" si="4"/>
        <v>-28034.86714</v>
      </c>
      <c r="AA236" s="14">
        <f t="shared" si="7"/>
        <v>-107610306.1</v>
      </c>
      <c r="AB236" s="14">
        <f t="shared" si="5"/>
        <v>-28034.86714</v>
      </c>
      <c r="AC236" s="14">
        <f>(E236+F236+G236+H236)*Drivers!C45</f>
        <v>0</v>
      </c>
      <c r="AD236" s="14">
        <f>IF(A236&lt;=Summary!C18,AB236+IF(A236=Summary!C18,Summary!C40,0),0)</f>
        <v>0</v>
      </c>
      <c r="AE236" s="14">
        <f>IF(A236&lt;=Summary!C18,Z236+IF(A236=Summary!C18,Summary!C40-Y236,0),0)</f>
        <v>0</v>
      </c>
      <c r="AF236" s="14">
        <f>AD236-IF(A236=0,Drivers!C44,0)</f>
        <v>0</v>
      </c>
      <c r="AG236" s="14">
        <f t="shared" si="8"/>
        <v>-106133884.5</v>
      </c>
    </row>
    <row r="237">
      <c r="A237" s="2">
        <v>235.0</v>
      </c>
      <c r="B237" s="15">
        <f>EDATE(Setup!B2,A237)</f>
        <v>53431</v>
      </c>
      <c r="C237" s="2" t="str">
        <f>IF(A237=0,"T0",IF(A237&lt;=Drivers!C19,"Preconstruction",IF(A237&lt;=(Drivers!C19+Drivers!C20),"Construction","Trading")))</f>
        <v>Trading</v>
      </c>
      <c r="D237" s="12">
        <f t="array" ref="D237">IF(AND(A237&gt;Drivers!C19,A237&lt;=(Drivers!C19+Drivers!C20)),SIN(PI()*(A237-Drivers!C19-0.5)/Drivers!C20)/SUMPRODUCT(SIN(PI()*(SEQUENCE(Drivers!C20,1)-0.5)/Drivers!C20)),0)</f>
        <v>0</v>
      </c>
      <c r="E237" s="14">
        <f>(Summary!C10+Summary!C12)*D237*(1+Drivers!C21)^(A237/12)</f>
        <v>0</v>
      </c>
      <c r="F237" s="14">
        <f>IF(AND(A237&gt;0,A237&lt;=Drivers!C19),Summary!C11*Drivers!C40/Drivers!C19*(1+Drivers!C21)^(A237/12),Summary!C11*(1-Drivers!C40 )*D237*(1+Drivers!C21)^(A237/12))</f>
        <v>0</v>
      </c>
      <c r="G237" s="14">
        <f>IF(AND(A237&gt;0,A237&lt;=2),Drivers!C16/2,0)</f>
        <v>0</v>
      </c>
      <c r="H237" s="14">
        <f>IF(A237=(Drivers!C19+Drivers!C20),Drivers!C17*(1+Drivers!C21)^(A237/12),0)</f>
        <v>0</v>
      </c>
      <c r="I237" s="14">
        <f>IF(AND(A237&gt;0,A237&lt;=(Drivers!C19+Drivers!C20)),Drivers!C18*(1+Drivers!C23)^(A237/12),0)</f>
        <v>0</v>
      </c>
      <c r="J237" s="14">
        <f t="shared" si="1"/>
        <v>0</v>
      </c>
      <c r="K237" s="12">
        <f>IF(A237&gt;(Drivers!C19+Drivers!C20),MIN(1,0.5+0.5*(A237-(Drivers!C19+Drivers!C20))/Drivers!C39),0)</f>
        <v>1</v>
      </c>
      <c r="L237" s="14">
        <f>Drivers!C2*(B237-B236)*Drivers!C24*(1+Drivers!C22)^(A237/12)*Drivers!C25*K237</f>
        <v>1082545.776</v>
      </c>
      <c r="M237" s="14">
        <f>L237*Drivers!C26</f>
        <v>216509.1551</v>
      </c>
      <c r="N237" s="14">
        <f>(L237+M237)*Drivers!C27</f>
        <v>454669.2258</v>
      </c>
      <c r="O237" s="14">
        <f>IF(A237&gt;(Drivers!C19+Drivers!C20),Drivers!C28/12*(1+Drivers!C23)^(A237/12),0)</f>
        <v>718535.627</v>
      </c>
      <c r="P237" s="14">
        <f>(L237+M237)*Drivers!C29</f>
        <v>51962.19723</v>
      </c>
      <c r="Q237" s="14">
        <f>Drivers!C3*Drivers!C30*(1+Drivers!C22)^(A237/12)*Drivers!C31*(1-Drivers!C32 )*K237</f>
        <v>82451.9632</v>
      </c>
      <c r="R237" s="14">
        <f>IF(A237&gt;(Drivers!C19+Drivers!C20),Drivers!C33/12*(1+Drivers!C23)^(A237/12),0)</f>
        <v>107780.3441</v>
      </c>
      <c r="S237" s="14">
        <f t="shared" si="2"/>
        <v>48559.49992</v>
      </c>
      <c r="T237" s="14">
        <f t="shared" si="6"/>
        <v>0</v>
      </c>
      <c r="U237" s="14">
        <f>IF(AND(A237&gt;Drivers!C19,A237&lt;=(Drivers!C19+Drivers!C20)),Summary!C31*D237,0)</f>
        <v>0</v>
      </c>
      <c r="V237" s="14">
        <f>IF(A237&lt;=(Drivers!C19+Drivers!C20),(T237+U237/2)*Drivers!C36/12,T237*Drivers!C36/12)</f>
        <v>0</v>
      </c>
      <c r="W237" s="14">
        <f>IF(A237&gt;(Drivers!C19+Drivers!C20),MIN(T237,MAX(0,Summary!C32/12-V237)),0)</f>
        <v>0</v>
      </c>
      <c r="X237" s="14">
        <f>IF(A237=(Drivers!C19+1),Summary!C31*Drivers!C38,0)</f>
        <v>0</v>
      </c>
      <c r="Y237" s="14">
        <f t="shared" si="3"/>
        <v>0</v>
      </c>
      <c r="Z237" s="14">
        <f t="shared" si="4"/>
        <v>48559.49992</v>
      </c>
      <c r="AA237" s="14">
        <f t="shared" si="7"/>
        <v>-107561746.6</v>
      </c>
      <c r="AB237" s="14">
        <f t="shared" si="5"/>
        <v>48559.49992</v>
      </c>
      <c r="AC237" s="14">
        <f>(E237+F237+G237+H237)*Drivers!C45</f>
        <v>0</v>
      </c>
      <c r="AD237" s="14">
        <f>IF(A237&lt;=Summary!C18,AB237+IF(A237=Summary!C18,Summary!C40,0),0)</f>
        <v>0</v>
      </c>
      <c r="AE237" s="14">
        <f>IF(A237&lt;=Summary!C18,Z237+IF(A237=Summary!C18,Summary!C40-Y237,0),0)</f>
        <v>0</v>
      </c>
      <c r="AF237" s="14">
        <f>AD237-IF(A237=0,Drivers!C44,0)</f>
        <v>0</v>
      </c>
      <c r="AG237" s="14">
        <f t="shared" si="8"/>
        <v>-106085325</v>
      </c>
    </row>
    <row r="238">
      <c r="A238" s="2">
        <v>236.0</v>
      </c>
      <c r="B238" s="15">
        <f>EDATE(Setup!B2,A238)</f>
        <v>53461</v>
      </c>
      <c r="C238" s="2" t="str">
        <f>IF(A238=0,"T0",IF(A238&lt;=Drivers!C19,"Preconstruction",IF(A238&lt;=(Drivers!C19+Drivers!C20),"Construction","Trading")))</f>
        <v>Trading</v>
      </c>
      <c r="D238" s="12">
        <f t="array" ref="D238">IF(AND(A238&gt;Drivers!C19,A238&lt;=(Drivers!C19+Drivers!C20)),SIN(PI()*(A238-Drivers!C19-0.5)/Drivers!C20)/SUMPRODUCT(SIN(PI()*(SEQUENCE(Drivers!C20,1)-0.5)/Drivers!C20)),0)</f>
        <v>0</v>
      </c>
      <c r="E238" s="14">
        <f>(Summary!C10+Summary!C12)*D238*(1+Drivers!C21)^(A238/12)</f>
        <v>0</v>
      </c>
      <c r="F238" s="14">
        <f>IF(AND(A238&gt;0,A238&lt;=Drivers!C19),Summary!C11*Drivers!C40/Drivers!C19*(1+Drivers!C21)^(A238/12),Summary!C11*(1-Drivers!C40 )*D238*(1+Drivers!C21)^(A238/12))</f>
        <v>0</v>
      </c>
      <c r="G238" s="14">
        <f>IF(AND(A238&gt;0,A238&lt;=2),Drivers!C16/2,0)</f>
        <v>0</v>
      </c>
      <c r="H238" s="14">
        <f>IF(A238=(Drivers!C19+Drivers!C20),Drivers!C17*(1+Drivers!C21)^(A238/12),0)</f>
        <v>0</v>
      </c>
      <c r="I238" s="14">
        <f>IF(AND(A238&gt;0,A238&lt;=(Drivers!C19+Drivers!C20)),Drivers!C18*(1+Drivers!C23)^(A238/12),0)</f>
        <v>0</v>
      </c>
      <c r="J238" s="14">
        <f t="shared" si="1"/>
        <v>0</v>
      </c>
      <c r="K238" s="12">
        <f>IF(A238&gt;(Drivers!C19+Drivers!C20),MIN(1,0.5+0.5*(A238-(Drivers!C19+Drivers!C20))/Drivers!C39),0)</f>
        <v>1</v>
      </c>
      <c r="L238" s="14">
        <f>Drivers!C2*(B238-B237)*Drivers!C24*(1+Drivers!C22)^(A238/12)*Drivers!C25*K238</f>
        <v>1051054.596</v>
      </c>
      <c r="M238" s="14">
        <f>L238*Drivers!C26</f>
        <v>210210.9191</v>
      </c>
      <c r="N238" s="14">
        <f>(L238+M238)*Drivers!C27</f>
        <v>441442.9302</v>
      </c>
      <c r="O238" s="14">
        <f>IF(A238&gt;(Drivers!C19+Drivers!C20),Drivers!C28/12*(1+Drivers!C23)^(A238/12),0)</f>
        <v>720887.9257</v>
      </c>
      <c r="P238" s="14">
        <f>(L238+M238)*Drivers!C29</f>
        <v>50450.62059</v>
      </c>
      <c r="Q238" s="14">
        <f>Drivers!C3*Drivers!C30*(1+Drivers!C22)^(A238/12)*Drivers!C31*(1-Drivers!C32 )*K238</f>
        <v>82721.88947</v>
      </c>
      <c r="R238" s="14">
        <f>IF(A238&gt;(Drivers!C19+Drivers!C20),Drivers!C33/12*(1+Drivers!C23)^(A238/12),0)</f>
        <v>108133.1889</v>
      </c>
      <c r="S238" s="14">
        <f t="shared" si="2"/>
        <v>23072.73895</v>
      </c>
      <c r="T238" s="14">
        <f t="shared" si="6"/>
        <v>0</v>
      </c>
      <c r="U238" s="14">
        <f>IF(AND(A238&gt;Drivers!C19,A238&lt;=(Drivers!C19+Drivers!C20)),Summary!C31*D238,0)</f>
        <v>0</v>
      </c>
      <c r="V238" s="14">
        <f>IF(A238&lt;=(Drivers!C19+Drivers!C20),(T238+U238/2)*Drivers!C36/12,T238*Drivers!C36/12)</f>
        <v>0</v>
      </c>
      <c r="W238" s="14">
        <f>IF(A238&gt;(Drivers!C19+Drivers!C20),MIN(T238,MAX(0,Summary!C32/12-V238)),0)</f>
        <v>0</v>
      </c>
      <c r="X238" s="14">
        <f>IF(A238=(Drivers!C19+1),Summary!C31*Drivers!C38,0)</f>
        <v>0</v>
      </c>
      <c r="Y238" s="14">
        <f t="shared" si="3"/>
        <v>0</v>
      </c>
      <c r="Z238" s="14">
        <f t="shared" si="4"/>
        <v>23072.73895</v>
      </c>
      <c r="AA238" s="14">
        <f t="shared" si="7"/>
        <v>-107538673.8</v>
      </c>
      <c r="AB238" s="14">
        <f t="shared" si="5"/>
        <v>23072.73895</v>
      </c>
      <c r="AC238" s="14">
        <f>(E238+F238+G238+H238)*Drivers!C45</f>
        <v>0</v>
      </c>
      <c r="AD238" s="14">
        <f>IF(A238&lt;=Summary!C18,AB238+IF(A238=Summary!C18,Summary!C40,0),0)</f>
        <v>0</v>
      </c>
      <c r="AE238" s="14">
        <f>IF(A238&lt;=Summary!C18,Z238+IF(A238=Summary!C18,Summary!C40-Y238,0),0)</f>
        <v>0</v>
      </c>
      <c r="AF238" s="14">
        <f>AD238-IF(A238=0,Drivers!C44,0)</f>
        <v>0</v>
      </c>
      <c r="AG238" s="14">
        <f t="shared" si="8"/>
        <v>-106062252.3</v>
      </c>
    </row>
    <row r="239">
      <c r="A239" s="2">
        <v>237.0</v>
      </c>
      <c r="B239" s="15">
        <f>EDATE(Setup!B2,A239)</f>
        <v>53492</v>
      </c>
      <c r="C239" s="2" t="str">
        <f>IF(A239=0,"T0",IF(A239&lt;=Drivers!C19,"Preconstruction",IF(A239&lt;=(Drivers!C19+Drivers!C20),"Construction","Trading")))</f>
        <v>Trading</v>
      </c>
      <c r="D239" s="12">
        <f t="array" ref="D239">IF(AND(A239&gt;Drivers!C19,A239&lt;=(Drivers!C19+Drivers!C20)),SIN(PI()*(A239-Drivers!C19-0.5)/Drivers!C20)/SUMPRODUCT(SIN(PI()*(SEQUENCE(Drivers!C20,1)-0.5)/Drivers!C20)),0)</f>
        <v>0</v>
      </c>
      <c r="E239" s="14">
        <f>(Summary!C10+Summary!C12)*D239*(1+Drivers!C21)^(A239/12)</f>
        <v>0</v>
      </c>
      <c r="F239" s="14">
        <f>IF(AND(A239&gt;0,A239&lt;=Drivers!C19),Summary!C11*Drivers!C40/Drivers!C19*(1+Drivers!C21)^(A239/12),Summary!C11*(1-Drivers!C40 )*D239*(1+Drivers!C21)^(A239/12))</f>
        <v>0</v>
      </c>
      <c r="G239" s="14">
        <f>IF(AND(A239&gt;0,A239&lt;=2),Drivers!C16/2,0)</f>
        <v>0</v>
      </c>
      <c r="H239" s="14">
        <f>IF(A239=(Drivers!C19+Drivers!C20),Drivers!C17*(1+Drivers!C21)^(A239/12),0)</f>
        <v>0</v>
      </c>
      <c r="I239" s="14">
        <f>IF(AND(A239&gt;0,A239&lt;=(Drivers!C19+Drivers!C20)),Drivers!C18*(1+Drivers!C23)^(A239/12),0)</f>
        <v>0</v>
      </c>
      <c r="J239" s="14">
        <f t="shared" si="1"/>
        <v>0</v>
      </c>
      <c r="K239" s="12">
        <f>IF(A239&gt;(Drivers!C19+Drivers!C20),MIN(1,0.5+0.5*(A239-(Drivers!C19+Drivers!C20))/Drivers!C39),0)</f>
        <v>1</v>
      </c>
      <c r="L239" s="14">
        <f>Drivers!C2*(B239-B238)*Drivers!C24*(1+Drivers!C22)^(A239/12)*Drivers!C25*K239</f>
        <v>1089645.324</v>
      </c>
      <c r="M239" s="14">
        <f>L239*Drivers!C26</f>
        <v>217929.0648</v>
      </c>
      <c r="N239" s="14">
        <f>(L239+M239)*Drivers!C27</f>
        <v>457651.0361</v>
      </c>
      <c r="O239" s="14">
        <f>IF(A239&gt;(Drivers!C19+Drivers!C20),Drivers!C28/12*(1+Drivers!C23)^(A239/12),0)</f>
        <v>723247.9252</v>
      </c>
      <c r="P239" s="14">
        <f>(L239+M239)*Drivers!C29</f>
        <v>52302.97555</v>
      </c>
      <c r="Q239" s="14">
        <f>Drivers!C3*Drivers!C30*(1+Drivers!C22)^(A239/12)*Drivers!C31*(1-Drivers!C32 )*K239</f>
        <v>82992.69941</v>
      </c>
      <c r="R239" s="14">
        <f>IF(A239&gt;(Drivers!C19+Drivers!C20),Drivers!C33/12*(1+Drivers!C23)^(A239/12),0)</f>
        <v>108487.1888</v>
      </c>
      <c r="S239" s="14">
        <f t="shared" si="2"/>
        <v>48877.96268</v>
      </c>
      <c r="T239" s="14">
        <f t="shared" si="6"/>
        <v>0</v>
      </c>
      <c r="U239" s="14">
        <f>IF(AND(A239&gt;Drivers!C19,A239&lt;=(Drivers!C19+Drivers!C20)),Summary!C31*D239,0)</f>
        <v>0</v>
      </c>
      <c r="V239" s="14">
        <f>IF(A239&lt;=(Drivers!C19+Drivers!C20),(T239+U239/2)*Drivers!C36/12,T239*Drivers!C36/12)</f>
        <v>0</v>
      </c>
      <c r="W239" s="14">
        <f>IF(A239&gt;(Drivers!C19+Drivers!C20),MIN(T239,MAX(0,Summary!C32/12-V239)),0)</f>
        <v>0</v>
      </c>
      <c r="X239" s="14">
        <f>IF(A239=(Drivers!C19+1),Summary!C31*Drivers!C38,0)</f>
        <v>0</v>
      </c>
      <c r="Y239" s="14">
        <f t="shared" si="3"/>
        <v>0</v>
      </c>
      <c r="Z239" s="14">
        <f t="shared" si="4"/>
        <v>48877.96268</v>
      </c>
      <c r="AA239" s="14">
        <f t="shared" si="7"/>
        <v>-107489795.9</v>
      </c>
      <c r="AB239" s="14">
        <f t="shared" si="5"/>
        <v>48877.96268</v>
      </c>
      <c r="AC239" s="14">
        <f>(E239+F239+G239+H239)*Drivers!C45</f>
        <v>0</v>
      </c>
      <c r="AD239" s="14">
        <f>IF(A239&lt;=Summary!C18,AB239+IF(A239=Summary!C18,Summary!C40,0),0)</f>
        <v>0</v>
      </c>
      <c r="AE239" s="14">
        <f>IF(A239&lt;=Summary!C18,Z239+IF(A239=Summary!C18,Summary!C40-Y239,0),0)</f>
        <v>0</v>
      </c>
      <c r="AF239" s="14">
        <f>AD239-IF(A239=0,Drivers!C44,0)</f>
        <v>0</v>
      </c>
      <c r="AG239" s="14">
        <f t="shared" si="8"/>
        <v>-106013374.3</v>
      </c>
    </row>
    <row r="240">
      <c r="A240" s="2">
        <v>238.0</v>
      </c>
      <c r="B240" s="15">
        <f>EDATE(Setup!B2,A240)</f>
        <v>53522</v>
      </c>
      <c r="C240" s="2" t="str">
        <f>IF(A240=0,"T0",IF(A240&lt;=Drivers!C19,"Preconstruction",IF(A240&lt;=(Drivers!C19+Drivers!C20),"Construction","Trading")))</f>
        <v>Trading</v>
      </c>
      <c r="D240" s="12">
        <f t="array" ref="D240">IF(AND(A240&gt;Drivers!C19,A240&lt;=(Drivers!C19+Drivers!C20)),SIN(PI()*(A240-Drivers!C19-0.5)/Drivers!C20)/SUMPRODUCT(SIN(PI()*(SEQUENCE(Drivers!C20,1)-0.5)/Drivers!C20)),0)</f>
        <v>0</v>
      </c>
      <c r="E240" s="14">
        <f>(Summary!C10+Summary!C12)*D240*(1+Drivers!C21)^(A240/12)</f>
        <v>0</v>
      </c>
      <c r="F240" s="14">
        <f>IF(AND(A240&gt;0,A240&lt;=Drivers!C19),Summary!C11*Drivers!C40/Drivers!C19*(1+Drivers!C21)^(A240/12),Summary!C11*(1-Drivers!C40 )*D240*(1+Drivers!C21)^(A240/12))</f>
        <v>0</v>
      </c>
      <c r="G240" s="14">
        <f>IF(AND(A240&gt;0,A240&lt;=2),Drivers!C16/2,0)</f>
        <v>0</v>
      </c>
      <c r="H240" s="14">
        <f>IF(A240=(Drivers!C19+Drivers!C20),Drivers!C17*(1+Drivers!C21)^(A240/12),0)</f>
        <v>0</v>
      </c>
      <c r="I240" s="14">
        <f>IF(AND(A240&gt;0,A240&lt;=(Drivers!C19+Drivers!C20)),Drivers!C18*(1+Drivers!C23)^(A240/12),0)</f>
        <v>0</v>
      </c>
      <c r="J240" s="14">
        <f t="shared" si="1"/>
        <v>0</v>
      </c>
      <c r="K240" s="12">
        <f>IF(A240&gt;(Drivers!C19+Drivers!C20),MIN(1,0.5+0.5*(A240-(Drivers!C19+Drivers!C20))/Drivers!C39),0)</f>
        <v>1</v>
      </c>
      <c r="L240" s="14">
        <f>Drivers!C2*(B240-B239)*Drivers!C24*(1+Drivers!C22)^(A240/12)*Drivers!C25*K240</f>
        <v>1057947.619</v>
      </c>
      <c r="M240" s="14">
        <f>L240*Drivers!C26</f>
        <v>211589.5237</v>
      </c>
      <c r="N240" s="14">
        <f>(L240+M240)*Drivers!C27</f>
        <v>444337.9998</v>
      </c>
      <c r="O240" s="14">
        <f>IF(A240&gt;(Drivers!C19+Drivers!C20),Drivers!C28/12*(1+Drivers!C23)^(A240/12),0)</f>
        <v>725615.6507</v>
      </c>
      <c r="P240" s="14">
        <f>(L240+M240)*Drivers!C29</f>
        <v>50781.4857</v>
      </c>
      <c r="Q240" s="14">
        <f>Drivers!C3*Drivers!C30*(1+Drivers!C22)^(A240/12)*Drivers!C31*(1-Drivers!C32 )*K240</f>
        <v>83264.39591</v>
      </c>
      <c r="R240" s="14">
        <f>IF(A240&gt;(Drivers!C19+Drivers!C20),Drivers!C33/12*(1+Drivers!C23)^(A240/12),0)</f>
        <v>108842.3476</v>
      </c>
      <c r="S240" s="14">
        <f t="shared" si="2"/>
        <v>23224.05452</v>
      </c>
      <c r="T240" s="14">
        <f t="shared" si="6"/>
        <v>0</v>
      </c>
      <c r="U240" s="14">
        <f>IF(AND(A240&gt;Drivers!C19,A240&lt;=(Drivers!C19+Drivers!C20)),Summary!C31*D240,0)</f>
        <v>0</v>
      </c>
      <c r="V240" s="14">
        <f>IF(A240&lt;=(Drivers!C19+Drivers!C20),(T240+U240/2)*Drivers!C36/12,T240*Drivers!C36/12)</f>
        <v>0</v>
      </c>
      <c r="W240" s="14">
        <f>IF(A240&gt;(Drivers!C19+Drivers!C20),MIN(T240,MAX(0,Summary!C32/12-V240)),0)</f>
        <v>0</v>
      </c>
      <c r="X240" s="14">
        <f>IF(A240=(Drivers!C19+1),Summary!C31*Drivers!C38,0)</f>
        <v>0</v>
      </c>
      <c r="Y240" s="14">
        <f t="shared" si="3"/>
        <v>0</v>
      </c>
      <c r="Z240" s="14">
        <f t="shared" si="4"/>
        <v>23224.05452</v>
      </c>
      <c r="AA240" s="14">
        <f t="shared" si="7"/>
        <v>-107466571.8</v>
      </c>
      <c r="AB240" s="14">
        <f t="shared" si="5"/>
        <v>23224.05452</v>
      </c>
      <c r="AC240" s="14">
        <f>(E240+F240+G240+H240)*Drivers!C45</f>
        <v>0</v>
      </c>
      <c r="AD240" s="14">
        <f>IF(A240&lt;=Summary!C18,AB240+IF(A240=Summary!C18,Summary!C40,0),0)</f>
        <v>0</v>
      </c>
      <c r="AE240" s="14">
        <f>IF(A240&lt;=Summary!C18,Z240+IF(A240=Summary!C18,Summary!C40-Y240,0),0)</f>
        <v>0</v>
      </c>
      <c r="AF240" s="14">
        <f>AD240-IF(A240=0,Drivers!C44,0)</f>
        <v>0</v>
      </c>
      <c r="AG240" s="14">
        <f t="shared" si="8"/>
        <v>-105990150.3</v>
      </c>
    </row>
    <row r="241">
      <c r="A241" s="2">
        <v>239.0</v>
      </c>
      <c r="B241" s="15">
        <f>EDATE(Setup!B2,A241)</f>
        <v>53553</v>
      </c>
      <c r="C241" s="2" t="str">
        <f>IF(A241=0,"T0",IF(A241&lt;=Drivers!C19,"Preconstruction",IF(A241&lt;=(Drivers!C19+Drivers!C20),"Construction","Trading")))</f>
        <v>Trading</v>
      </c>
      <c r="D241" s="12">
        <f t="array" ref="D241">IF(AND(A241&gt;Drivers!C19,A241&lt;=(Drivers!C19+Drivers!C20)),SIN(PI()*(A241-Drivers!C19-0.5)/Drivers!C20)/SUMPRODUCT(SIN(PI()*(SEQUENCE(Drivers!C20,1)-0.5)/Drivers!C20)),0)</f>
        <v>0</v>
      </c>
      <c r="E241" s="14">
        <f>(Summary!C10+Summary!C12)*D241*(1+Drivers!C21)^(A241/12)</f>
        <v>0</v>
      </c>
      <c r="F241" s="14">
        <f>IF(AND(A241&gt;0,A241&lt;=Drivers!C19),Summary!C11*Drivers!C40/Drivers!C19*(1+Drivers!C21)^(A241/12),Summary!C11*(1-Drivers!C40 )*D241*(1+Drivers!C21)^(A241/12))</f>
        <v>0</v>
      </c>
      <c r="G241" s="14">
        <f>IF(AND(A241&gt;0,A241&lt;=2),Drivers!C16/2,0)</f>
        <v>0</v>
      </c>
      <c r="H241" s="14">
        <f>IF(A241=(Drivers!C19+Drivers!C20),Drivers!C17*(1+Drivers!C21)^(A241/12),0)</f>
        <v>0</v>
      </c>
      <c r="I241" s="14">
        <f>IF(AND(A241&gt;0,A241&lt;=(Drivers!C19+Drivers!C20)),Drivers!C18*(1+Drivers!C23)^(A241/12),0)</f>
        <v>0</v>
      </c>
      <c r="J241" s="14">
        <f t="shared" si="1"/>
        <v>0</v>
      </c>
      <c r="K241" s="12">
        <f>IF(A241&gt;(Drivers!C19+Drivers!C20),MIN(1,0.5+0.5*(A241-(Drivers!C19+Drivers!C20))/Drivers!C39),0)</f>
        <v>1</v>
      </c>
      <c r="L241" s="14">
        <f>Drivers!C2*(B241-B240)*Drivers!C24*(1+Drivers!C22)^(A241/12)*Drivers!C25*K241</f>
        <v>1096791.433</v>
      </c>
      <c r="M241" s="14">
        <f>L241*Drivers!C26</f>
        <v>219358.2865</v>
      </c>
      <c r="N241" s="14">
        <f>(L241+M241)*Drivers!C27</f>
        <v>460652.4017</v>
      </c>
      <c r="O241" s="14">
        <f>IF(A241&gt;(Drivers!C19+Drivers!C20),Drivers!C28/12*(1+Drivers!C23)^(A241/12),0)</f>
        <v>727991.1275</v>
      </c>
      <c r="P241" s="14">
        <f>(L241+M241)*Drivers!C29</f>
        <v>52645.98877</v>
      </c>
      <c r="Q241" s="14">
        <f>Drivers!C3*Drivers!C30*(1+Drivers!C22)^(A241/12)*Drivers!C31*(1-Drivers!C32 )*K241</f>
        <v>83536.98188</v>
      </c>
      <c r="R241" s="14">
        <f>IF(A241&gt;(Drivers!C19+Drivers!C20),Drivers!C33/12*(1+Drivers!C23)^(A241/12),0)</f>
        <v>109198.6691</v>
      </c>
      <c r="S241" s="14">
        <f t="shared" si="2"/>
        <v>49198.51399</v>
      </c>
      <c r="T241" s="14">
        <f t="shared" si="6"/>
        <v>0</v>
      </c>
      <c r="U241" s="14">
        <f>IF(AND(A241&gt;Drivers!C19,A241&lt;=(Drivers!C19+Drivers!C20)),Summary!C31*D241,0)</f>
        <v>0</v>
      </c>
      <c r="V241" s="14">
        <f>IF(A241&lt;=(Drivers!C19+Drivers!C20),(T241+U241/2)*Drivers!C36/12,T241*Drivers!C36/12)</f>
        <v>0</v>
      </c>
      <c r="W241" s="14">
        <f>IF(A241&gt;(Drivers!C19+Drivers!C20),MIN(T241,MAX(0,Summary!C32/12-V241)),0)</f>
        <v>0</v>
      </c>
      <c r="X241" s="14">
        <f>IF(A241=(Drivers!C19+1),Summary!C31*Drivers!C38,0)</f>
        <v>0</v>
      </c>
      <c r="Y241" s="14">
        <f t="shared" si="3"/>
        <v>0</v>
      </c>
      <c r="Z241" s="14">
        <f t="shared" si="4"/>
        <v>49198.51399</v>
      </c>
      <c r="AA241" s="14">
        <f t="shared" si="7"/>
        <v>-107417373.3</v>
      </c>
      <c r="AB241" s="14">
        <f t="shared" si="5"/>
        <v>49198.51399</v>
      </c>
      <c r="AC241" s="14">
        <f>(E241+F241+G241+H241)*Drivers!C45</f>
        <v>0</v>
      </c>
      <c r="AD241" s="14">
        <f>IF(A241&lt;=Summary!C18,AB241+IF(A241=Summary!C18,Summary!C40,0),0)</f>
        <v>0</v>
      </c>
      <c r="AE241" s="14">
        <f>IF(A241&lt;=Summary!C18,Z241+IF(A241=Summary!C18,Summary!C40-Y241,0),0)</f>
        <v>0</v>
      </c>
      <c r="AF241" s="14">
        <f>AD241-IF(A241=0,Drivers!C44,0)</f>
        <v>0</v>
      </c>
      <c r="AG241" s="14">
        <f t="shared" si="8"/>
        <v>-105940951.8</v>
      </c>
    </row>
    <row r="242">
      <c r="A242" s="2">
        <v>240.0</v>
      </c>
      <c r="B242" s="15">
        <f>EDATE(Setup!B2,A242)</f>
        <v>53584</v>
      </c>
      <c r="C242" s="2" t="str">
        <f>IF(A242=0,"T0",IF(A242&lt;=Drivers!C19,"Preconstruction",IF(A242&lt;=(Drivers!C19+Drivers!C20),"Construction","Trading")))</f>
        <v>Trading</v>
      </c>
      <c r="D242" s="12">
        <f t="array" ref="D242">IF(AND(A242&gt;Drivers!C19,A242&lt;=(Drivers!C19+Drivers!C20)),SIN(PI()*(A242-Drivers!C19-0.5)/Drivers!C20)/SUMPRODUCT(SIN(PI()*(SEQUENCE(Drivers!C20,1)-0.5)/Drivers!C20)),0)</f>
        <v>0</v>
      </c>
      <c r="E242" s="14">
        <f>(Summary!C10+Summary!C12)*D242*(1+Drivers!C21)^(A242/12)</f>
        <v>0</v>
      </c>
      <c r="F242" s="14">
        <f>IF(AND(A242&gt;0,A242&lt;=Drivers!C19),Summary!C11*Drivers!C40/Drivers!C19*(1+Drivers!C21)^(A242/12),Summary!C11*(1-Drivers!C40 )*D242*(1+Drivers!C21)^(A242/12))</f>
        <v>0</v>
      </c>
      <c r="G242" s="14">
        <f>IF(AND(A242&gt;0,A242&lt;=2),Drivers!C16/2,0)</f>
        <v>0</v>
      </c>
      <c r="H242" s="14">
        <f>IF(A242=(Drivers!C19+Drivers!C20),Drivers!C17*(1+Drivers!C21)^(A242/12),0)</f>
        <v>0</v>
      </c>
      <c r="I242" s="14">
        <f>IF(AND(A242&gt;0,A242&lt;=(Drivers!C19+Drivers!C20)),Drivers!C18*(1+Drivers!C23)^(A242/12),0)</f>
        <v>0</v>
      </c>
      <c r="J242" s="14">
        <f t="shared" si="1"/>
        <v>0</v>
      </c>
      <c r="K242" s="12">
        <f>IF(A242&gt;(Drivers!C19+Drivers!C20),MIN(1,0.5+0.5*(A242-(Drivers!C19+Drivers!C20))/Drivers!C39),0)</f>
        <v>1</v>
      </c>
      <c r="L242" s="14">
        <f>Drivers!C2*(B242-B241)*Drivers!C24*(1+Drivers!C22)^(A242/12)*Drivers!C25*K242</f>
        <v>1100382.042</v>
      </c>
      <c r="M242" s="14">
        <f>L242*Drivers!C26</f>
        <v>220076.4085</v>
      </c>
      <c r="N242" s="14">
        <f>(L242+M242)*Drivers!C27</f>
        <v>462160.4578</v>
      </c>
      <c r="O242" s="14">
        <f>IF(A242&gt;(Drivers!C19+Drivers!C20),Drivers!C28/12*(1+Drivers!C23)^(A242/12),0)</f>
        <v>730374.381</v>
      </c>
      <c r="P242" s="14">
        <f>(L242+M242)*Drivers!C29</f>
        <v>52818.33804</v>
      </c>
      <c r="Q242" s="14">
        <f>Drivers!C3*Drivers!C30*(1+Drivers!C22)^(A242/12)*Drivers!C31*(1-Drivers!C32 )*K242</f>
        <v>83810.46022</v>
      </c>
      <c r="R242" s="14">
        <f>IF(A242&gt;(Drivers!C19+Drivers!C20),Drivers!C33/12*(1+Drivers!C23)^(A242/12),0)</f>
        <v>109556.1572</v>
      </c>
      <c r="S242" s="14">
        <f t="shared" si="2"/>
        <v>49359.57712</v>
      </c>
      <c r="T242" s="14">
        <f t="shared" si="6"/>
        <v>0</v>
      </c>
      <c r="U242" s="14">
        <f>IF(AND(A242&gt;Drivers!C19,A242&lt;=(Drivers!C19+Drivers!C20)),Summary!C31*D242,0)</f>
        <v>0</v>
      </c>
      <c r="V242" s="14">
        <f>IF(A242&lt;=(Drivers!C19+Drivers!C20),(T242+U242/2)*Drivers!C36/12,T242*Drivers!C36/12)</f>
        <v>0</v>
      </c>
      <c r="W242" s="14">
        <f>IF(A242&gt;(Drivers!C19+Drivers!C20),MIN(T242,MAX(0,Summary!C32/12-V242)),0)</f>
        <v>0</v>
      </c>
      <c r="X242" s="14">
        <f>IF(A242=(Drivers!C19+1),Summary!C31*Drivers!C38,0)</f>
        <v>0</v>
      </c>
      <c r="Y242" s="14">
        <f t="shared" si="3"/>
        <v>0</v>
      </c>
      <c r="Z242" s="14">
        <f t="shared" si="4"/>
        <v>49359.57712</v>
      </c>
      <c r="AA242" s="14">
        <f t="shared" si="7"/>
        <v>-107368013.7</v>
      </c>
      <c r="AB242" s="14">
        <f t="shared" si="5"/>
        <v>49359.57712</v>
      </c>
      <c r="AC242" s="14">
        <f>(E242+F242+G242+H242)*Drivers!C45</f>
        <v>0</v>
      </c>
      <c r="AD242" s="14">
        <f>IF(A242&lt;=Summary!C18,AB242+IF(A242=Summary!C18,Summary!C40,0),0)</f>
        <v>0</v>
      </c>
      <c r="AE242" s="14">
        <f>IF(A242&lt;=Summary!C18,Z242+IF(A242=Summary!C18,Summary!C40-Y242,0),0)</f>
        <v>0</v>
      </c>
      <c r="AF242" s="14">
        <f>AD242-IF(A242=0,Drivers!C44,0)</f>
        <v>0</v>
      </c>
      <c r="AG242" s="14">
        <f t="shared" si="8"/>
        <v>-105891592.2</v>
      </c>
    </row>
  </sheetData>
  <autoFilter ref="$A$1:$AG$24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5.13"/>
    <col customWidth="1" min="2" max="4" width="22.63"/>
  </cols>
  <sheetData>
    <row r="1">
      <c r="A1" s="1" t="s">
        <v>398</v>
      </c>
      <c r="B1" s="1" t="s">
        <v>399</v>
      </c>
      <c r="C1" s="1" t="s">
        <v>400</v>
      </c>
      <c r="D1" s="1" t="s">
        <v>401</v>
      </c>
    </row>
    <row r="2">
      <c r="A2" s="2" t="s">
        <v>402</v>
      </c>
      <c r="B2" s="12">
        <f>SUM(Monthly_A!D2:D242)</f>
        <v>1</v>
      </c>
      <c r="C2" s="12">
        <f>SUM(Monthly_B!D2:D242)</f>
        <v>1</v>
      </c>
      <c r="D2" s="2">
        <v>1.0</v>
      </c>
    </row>
    <row r="3">
      <c r="A3" s="2" t="s">
        <v>403</v>
      </c>
      <c r="B3" s="14">
        <f>SUM(Monthly_A!U2:U242)-Summary!B31</f>
        <v>0.000000003725290298</v>
      </c>
      <c r="C3" s="14">
        <f>SUM(Monthly_B!U2:U242)-Summary!C31</f>
        <v>0.0000000002328306437</v>
      </c>
      <c r="D3" s="2">
        <v>0.0</v>
      </c>
    </row>
    <row r="4">
      <c r="A4" s="2" t="s">
        <v>404</v>
      </c>
      <c r="B4" s="14">
        <f>SUM(Monthly_A!U2:U242)-SUM(Monthly_A!W2:W242)-Monthly_A!Y242</f>
        <v>-0.000000003725290298</v>
      </c>
      <c r="C4" s="14">
        <f>SUM(Monthly_B!U2:U242)-SUM(Monthly_B!W2:W242)-Monthly_B!Y242</f>
        <v>0.0000000004656612873</v>
      </c>
      <c r="D4" s="2">
        <v>0.0</v>
      </c>
    </row>
    <row r="5">
      <c r="A5" s="2" t="s">
        <v>407</v>
      </c>
      <c r="B5" s="2" t="b">
        <f>Summary!B18+12&lt;=Setup!B3</f>
        <v>1</v>
      </c>
      <c r="C5" s="2" t="b">
        <f>Summary!C18+12&lt;=Setup!B3</f>
        <v>1</v>
      </c>
      <c r="D5" s="2" t="b">
        <v>1</v>
      </c>
    </row>
    <row r="6">
      <c r="A6" s="2" t="s">
        <v>409</v>
      </c>
      <c r="B6" s="2" t="b">
        <f>Drivers!B19+Drivers!B20+Drivers!B37*12&lt;=Setup!B3</f>
        <v>1</v>
      </c>
      <c r="C6" s="2" t="b">
        <f>Drivers!C19+Drivers!C20+Drivers!C37*12&lt;=Setup!B3</f>
        <v>1</v>
      </c>
      <c r="D6" s="2" t="b">
        <v>1</v>
      </c>
    </row>
    <row r="7">
      <c r="A7" s="2" t="s">
        <v>411</v>
      </c>
      <c r="B7" s="14">
        <f>Monthly_A!Y242</f>
        <v>0</v>
      </c>
      <c r="C7" s="14">
        <f>Monthly_B!Y242</f>
        <v>0</v>
      </c>
      <c r="D7" s="2">
        <v>0.0</v>
      </c>
    </row>
    <row r="8">
      <c r="A8" s="2" t="s">
        <v>412</v>
      </c>
      <c r="B8" s="2">
        <v>0.0</v>
      </c>
      <c r="C8" s="2">
        <v>0.0</v>
      </c>
      <c r="D8" s="2">
        <v>0.0</v>
      </c>
    </row>
    <row r="9">
      <c r="A9" s="2" t="s">
        <v>413</v>
      </c>
      <c r="B9" s="14">
        <f>Summary!B22-3378860</f>
        <v>0</v>
      </c>
      <c r="C9" s="2" t="s">
        <v>416</v>
      </c>
      <c r="D9" s="2">
        <v>0.0</v>
      </c>
    </row>
    <row r="10">
      <c r="A10" s="2" t="s">
        <v>417</v>
      </c>
      <c r="B10" s="9">
        <f>Summary!B2</f>
        <v>10.889</v>
      </c>
      <c r="C10" s="9">
        <f>Summary!C2</f>
        <v>10.889</v>
      </c>
      <c r="D10" s="2">
        <v>10.889</v>
      </c>
    </row>
    <row r="11">
      <c r="A11" s="2" t="s">
        <v>418</v>
      </c>
      <c r="B11" s="2" t="b">
        <f>AND(Drivers!B19&gt;0,Drivers!B20&gt;0,Drivers!B39&gt;0,Drivers!B41*12&gt;Drivers!B39)</f>
        <v>1</v>
      </c>
      <c r="C11" s="2" t="b">
        <f>AND(Drivers!C19&gt;0,Drivers!C20&gt;0,Drivers!C39&gt;0,Drivers!C41*12&gt;Drivers!C39)</f>
        <v>1</v>
      </c>
      <c r="D11" s="2" t="b">
        <v>1</v>
      </c>
    </row>
    <row r="12">
      <c r="A12" s="2" t="s">
        <v>420</v>
      </c>
      <c r="B12" s="2" t="b">
        <f>SUMPRODUCT(N(Drivers!B2:C47&lt;&gt;SnapshotInputs!B2:C47))=0</f>
        <v>1</v>
      </c>
      <c r="C12" s="2" t="s">
        <v>421</v>
      </c>
      <c r="D12" s="2" t="b">
        <v>1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8.25"/>
    <col customWidth="1" min="2" max="2" width="28.88"/>
    <col customWidth="1" min="3" max="3" width="51.38"/>
    <col customWidth="1" min="4" max="4" width="57.63"/>
    <col customWidth="1" min="5" max="5" width="71.38"/>
  </cols>
  <sheetData>
    <row r="1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</row>
    <row r="2">
      <c r="A2" s="2" t="s">
        <v>427</v>
      </c>
      <c r="B2" s="2" t="s">
        <v>429</v>
      </c>
      <c r="C2" s="2" t="s">
        <v>430</v>
      </c>
      <c r="D2" s="2" t="s">
        <v>432</v>
      </c>
      <c r="E2" s="2" t="s">
        <v>433</v>
      </c>
    </row>
    <row r="3">
      <c r="A3" s="2" t="s">
        <v>434</v>
      </c>
      <c r="B3" s="2" t="s">
        <v>435</v>
      </c>
      <c r="C3" s="2" t="s">
        <v>436</v>
      </c>
      <c r="D3" s="2" t="s">
        <v>432</v>
      </c>
      <c r="E3" s="2" t="s">
        <v>437</v>
      </c>
    </row>
    <row r="4">
      <c r="A4" s="2" t="s">
        <v>438</v>
      </c>
      <c r="B4" s="2" t="s">
        <v>439</v>
      </c>
      <c r="C4" s="2" t="s">
        <v>440</v>
      </c>
      <c r="D4" s="2" t="s">
        <v>441</v>
      </c>
      <c r="E4" s="2" t="s">
        <v>442</v>
      </c>
    </row>
    <row r="5">
      <c r="A5" s="2" t="s">
        <v>443</v>
      </c>
      <c r="B5" s="2" t="s">
        <v>444</v>
      </c>
      <c r="C5" s="2" t="s">
        <v>445</v>
      </c>
      <c r="D5" s="2">
        <v>36930.0</v>
      </c>
      <c r="E5" s="2" t="s">
        <v>446</v>
      </c>
    </row>
    <row r="6">
      <c r="A6" s="2" t="s">
        <v>447</v>
      </c>
      <c r="B6" s="2" t="s">
        <v>448</v>
      </c>
      <c r="C6" s="2" t="s">
        <v>449</v>
      </c>
      <c r="D6" s="2" t="s">
        <v>450</v>
      </c>
      <c r="E6" s="2" t="s">
        <v>451</v>
      </c>
    </row>
    <row r="7">
      <c r="A7" s="2" t="s">
        <v>452</v>
      </c>
      <c r="B7" s="2" t="s">
        <v>453</v>
      </c>
      <c r="C7" s="2" t="s">
        <v>455</v>
      </c>
      <c r="D7" s="2" t="s">
        <v>456</v>
      </c>
      <c r="E7" s="2" t="s">
        <v>457</v>
      </c>
    </row>
    <row r="8">
      <c r="A8" s="2" t="s">
        <v>458</v>
      </c>
      <c r="B8" s="2" t="s">
        <v>459</v>
      </c>
      <c r="C8" s="2" t="s">
        <v>460</v>
      </c>
      <c r="D8" s="2" t="s">
        <v>188</v>
      </c>
      <c r="E8" s="2" t="s">
        <v>461</v>
      </c>
    </row>
    <row r="9">
      <c r="A9" s="2" t="s">
        <v>462</v>
      </c>
      <c r="B9" s="2" t="s">
        <v>463</v>
      </c>
      <c r="C9" s="2" t="s">
        <v>464</v>
      </c>
      <c r="D9" s="2" t="s">
        <v>465</v>
      </c>
      <c r="E9" s="2" t="s">
        <v>466</v>
      </c>
    </row>
    <row r="10">
      <c r="A10" s="2" t="s">
        <v>468</v>
      </c>
      <c r="B10" s="2" t="s">
        <v>469</v>
      </c>
      <c r="C10" s="2" t="s">
        <v>470</v>
      </c>
      <c r="D10" s="2" t="s">
        <v>471</v>
      </c>
      <c r="E10" s="2" t="s">
        <v>472</v>
      </c>
    </row>
    <row r="11">
      <c r="A11" s="2" t="s">
        <v>473</v>
      </c>
      <c r="B11" s="2" t="s">
        <v>474</v>
      </c>
      <c r="C11" s="2" t="s">
        <v>475</v>
      </c>
      <c r="D11" s="2" t="s">
        <v>476</v>
      </c>
      <c r="E11" s="2" t="s">
        <v>477</v>
      </c>
    </row>
    <row r="12">
      <c r="A12" s="2" t="s">
        <v>478</v>
      </c>
      <c r="B12" s="2" t="s">
        <v>479</v>
      </c>
      <c r="C12" s="2" t="s">
        <v>480</v>
      </c>
      <c r="D12" s="2">
        <v>46273.0</v>
      </c>
      <c r="E12" s="2" t="s">
        <v>481</v>
      </c>
    </row>
    <row r="13">
      <c r="A13" s="2" t="s">
        <v>482</v>
      </c>
      <c r="B13" s="2" t="s">
        <v>483</v>
      </c>
      <c r="C13" s="2" t="s">
        <v>484</v>
      </c>
      <c r="D13" s="2" t="s">
        <v>485</v>
      </c>
      <c r="E13" s="2" t="s">
        <v>486</v>
      </c>
    </row>
    <row r="14">
      <c r="A14" s="2" t="s">
        <v>487</v>
      </c>
      <c r="B14" s="2" t="s">
        <v>488</v>
      </c>
      <c r="C14" s="2" t="s">
        <v>489</v>
      </c>
      <c r="D14" s="2" t="s">
        <v>490</v>
      </c>
      <c r="E14" s="2" t="s">
        <v>491</v>
      </c>
    </row>
    <row r="15">
      <c r="A15" s="2" t="s">
        <v>492</v>
      </c>
      <c r="B15" s="2" t="s">
        <v>493</v>
      </c>
      <c r="C15" s="2" t="s">
        <v>494</v>
      </c>
      <c r="D15" s="2">
        <v>46273.0</v>
      </c>
      <c r="E15" s="2" t="s">
        <v>495</v>
      </c>
    </row>
    <row r="16">
      <c r="A16" s="2" t="s">
        <v>496</v>
      </c>
      <c r="B16" s="2" t="s">
        <v>497</v>
      </c>
      <c r="C16" s="2" t="s">
        <v>498</v>
      </c>
      <c r="D16" s="2" t="s">
        <v>499</v>
      </c>
      <c r="E16" s="2" t="s">
        <v>500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0.13"/>
    <col customWidth="1" min="2" max="2" width="66.38"/>
    <col customWidth="1" min="3" max="3" width="62.63"/>
  </cols>
  <sheetData>
    <row r="1">
      <c r="A1" s="1" t="s">
        <v>501</v>
      </c>
      <c r="B1" s="1" t="s">
        <v>502</v>
      </c>
      <c r="C1" s="1" t="s">
        <v>503</v>
      </c>
    </row>
    <row r="2">
      <c r="A2" s="2" t="s">
        <v>504</v>
      </c>
      <c r="B2" s="15">
        <f>DATE(2026,9,14)</f>
        <v>46279</v>
      </c>
      <c r="C2" s="2" t="s">
        <v>505</v>
      </c>
    </row>
    <row r="3">
      <c r="A3" s="2" t="s">
        <v>506</v>
      </c>
      <c r="B3" s="2">
        <v>240.0</v>
      </c>
      <c r="C3" s="2" t="s">
        <v>507</v>
      </c>
    </row>
    <row r="4">
      <c r="A4" s="2" t="s">
        <v>508</v>
      </c>
      <c r="B4" s="2">
        <v>46266.0</v>
      </c>
      <c r="C4" s="2" t="s">
        <v>509</v>
      </c>
    </row>
    <row r="5">
      <c r="A5" s="2" t="s">
        <v>15</v>
      </c>
      <c r="B5" s="2" t="s">
        <v>1</v>
      </c>
      <c r="C5" s="2" t="s">
        <v>510</v>
      </c>
    </row>
    <row r="6">
      <c r="A6" s="2" t="s">
        <v>511</v>
      </c>
      <c r="B6" s="2" t="s">
        <v>188</v>
      </c>
      <c r="C6" s="2" t="s">
        <v>512</v>
      </c>
    </row>
    <row r="7">
      <c r="A7" s="2" t="s">
        <v>513</v>
      </c>
      <c r="B7" s="2" t="s">
        <v>514</v>
      </c>
      <c r="C7" s="2" t="s">
        <v>515</v>
      </c>
    </row>
    <row r="8">
      <c r="A8" s="2" t="s">
        <v>516</v>
      </c>
      <c r="B8" s="2" t="s">
        <v>517</v>
      </c>
      <c r="C8" s="2" t="s">
        <v>518</v>
      </c>
    </row>
    <row r="9">
      <c r="A9" s="2" t="s">
        <v>519</v>
      </c>
      <c r="B9" s="2" t="s">
        <v>520</v>
      </c>
      <c r="C9" s="2" t="s">
        <v>521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5.13"/>
    <col customWidth="1" min="2" max="5" width="22.63"/>
  </cols>
  <sheetData>
    <row r="1">
      <c r="A1" s="1" t="s">
        <v>19</v>
      </c>
      <c r="B1" s="1" t="s">
        <v>21</v>
      </c>
      <c r="C1" s="1" t="s">
        <v>23</v>
      </c>
      <c r="D1" s="1" t="s">
        <v>25</v>
      </c>
      <c r="E1" s="1" t="s">
        <v>27</v>
      </c>
    </row>
    <row r="2">
      <c r="A2" s="2" t="s">
        <v>30</v>
      </c>
      <c r="B2" s="2">
        <v>40.0</v>
      </c>
      <c r="C2" s="2">
        <v>24.0</v>
      </c>
      <c r="D2" s="2" t="s">
        <v>32</v>
      </c>
      <c r="E2" s="2" t="s">
        <v>33</v>
      </c>
    </row>
    <row r="3">
      <c r="A3" s="2" t="s">
        <v>34</v>
      </c>
      <c r="B3" s="2">
        <v>1000.0</v>
      </c>
      <c r="C3" s="2">
        <v>600.0</v>
      </c>
      <c r="D3" s="2" t="s">
        <v>35</v>
      </c>
      <c r="E3" s="2" t="s">
        <v>36</v>
      </c>
    </row>
    <row r="4">
      <c r="A4" s="2" t="s">
        <v>37</v>
      </c>
      <c r="B4" s="2">
        <v>1.2</v>
      </c>
      <c r="C4" s="2">
        <v>1.2</v>
      </c>
      <c r="D4" s="2" t="s">
        <v>39</v>
      </c>
      <c r="E4" s="2" t="s">
        <v>40</v>
      </c>
    </row>
    <row r="5">
      <c r="A5" s="2" t="s">
        <v>41</v>
      </c>
      <c r="B5" s="2">
        <v>60.0</v>
      </c>
      <c r="C5" s="2">
        <v>60.0</v>
      </c>
      <c r="D5" s="2" t="s">
        <v>42</v>
      </c>
      <c r="E5" s="2" t="s">
        <v>44</v>
      </c>
    </row>
    <row r="6">
      <c r="A6" s="2" t="s">
        <v>45</v>
      </c>
      <c r="B6" s="2">
        <v>1800000.0</v>
      </c>
      <c r="C6" s="2">
        <v>1800000.0</v>
      </c>
      <c r="D6" s="2" t="s">
        <v>46</v>
      </c>
      <c r="E6" s="2" t="s">
        <v>47</v>
      </c>
    </row>
    <row r="7">
      <c r="A7" s="2" t="s">
        <v>48</v>
      </c>
      <c r="B7" s="2">
        <v>14000.0</v>
      </c>
      <c r="C7" s="2">
        <v>14000.0</v>
      </c>
      <c r="D7" s="2" t="s">
        <v>50</v>
      </c>
      <c r="E7" s="2" t="s">
        <v>51</v>
      </c>
    </row>
    <row r="8">
      <c r="A8" s="2" t="s">
        <v>52</v>
      </c>
      <c r="B8" s="2">
        <v>120.0</v>
      </c>
      <c r="C8" s="2">
        <v>80.0</v>
      </c>
      <c r="D8" s="2" t="s">
        <v>54</v>
      </c>
      <c r="E8" s="2" t="s">
        <v>55</v>
      </c>
    </row>
    <row r="9">
      <c r="A9" s="2" t="s">
        <v>56</v>
      </c>
      <c r="B9" s="2">
        <v>30.0</v>
      </c>
      <c r="C9" s="2">
        <v>30.0</v>
      </c>
      <c r="D9" s="2" t="s">
        <v>58</v>
      </c>
      <c r="E9" s="2" t="s">
        <v>59</v>
      </c>
    </row>
    <row r="10">
      <c r="A10" s="2" t="s">
        <v>61</v>
      </c>
      <c r="B10" s="2">
        <v>1000.0</v>
      </c>
      <c r="C10" s="2">
        <v>1000.0</v>
      </c>
      <c r="D10" s="2" t="s">
        <v>65</v>
      </c>
      <c r="E10" s="2" t="s">
        <v>67</v>
      </c>
    </row>
    <row r="11">
      <c r="A11" s="2" t="s">
        <v>69</v>
      </c>
      <c r="B11" s="2">
        <v>8000000.0</v>
      </c>
      <c r="C11" s="2">
        <v>8000000.0</v>
      </c>
      <c r="D11" s="2" t="s">
        <v>74</v>
      </c>
      <c r="E11" s="2" t="s">
        <v>77</v>
      </c>
    </row>
    <row r="12">
      <c r="A12" s="2" t="s">
        <v>80</v>
      </c>
      <c r="B12" s="2">
        <v>4000000.0</v>
      </c>
      <c r="C12" s="2">
        <v>4000000.0</v>
      </c>
      <c r="D12" s="2" t="s">
        <v>74</v>
      </c>
      <c r="E12" s="2" t="s">
        <v>87</v>
      </c>
    </row>
    <row r="13">
      <c r="A13" s="2" t="s">
        <v>89</v>
      </c>
      <c r="B13" s="2">
        <v>2000000.0</v>
      </c>
      <c r="C13" s="2">
        <v>2000000.0</v>
      </c>
      <c r="D13" s="2" t="s">
        <v>74</v>
      </c>
      <c r="E13" s="2" t="s">
        <v>94</v>
      </c>
    </row>
    <row r="14">
      <c r="A14" s="2" t="s">
        <v>97</v>
      </c>
      <c r="B14" s="2">
        <v>0.1</v>
      </c>
      <c r="C14" s="2">
        <v>0.1</v>
      </c>
      <c r="D14" s="2" t="s">
        <v>103</v>
      </c>
      <c r="E14" s="2" t="s">
        <v>105</v>
      </c>
    </row>
    <row r="15">
      <c r="A15" s="2" t="s">
        <v>108</v>
      </c>
      <c r="B15" s="2">
        <v>0.15</v>
      </c>
      <c r="C15" s="2">
        <v>0.15</v>
      </c>
      <c r="D15" s="2" t="s">
        <v>103</v>
      </c>
      <c r="E15" s="2" t="s">
        <v>109</v>
      </c>
    </row>
    <row r="16">
      <c r="A16" s="2" t="s">
        <v>110</v>
      </c>
      <c r="B16" s="2">
        <v>1500000.0</v>
      </c>
      <c r="C16" s="2">
        <v>1500000.0</v>
      </c>
      <c r="D16" s="2" t="s">
        <v>74</v>
      </c>
      <c r="E16" s="2" t="s">
        <v>113</v>
      </c>
    </row>
    <row r="17">
      <c r="A17" s="2" t="s">
        <v>115</v>
      </c>
      <c r="B17" s="2">
        <v>2000000.0</v>
      </c>
      <c r="C17" s="2">
        <v>2000000.0</v>
      </c>
      <c r="D17" s="2" t="s">
        <v>74</v>
      </c>
      <c r="E17" s="2" t="s">
        <v>119</v>
      </c>
    </row>
    <row r="18">
      <c r="A18" s="2" t="s">
        <v>120</v>
      </c>
      <c r="B18" s="2">
        <v>50000.0</v>
      </c>
      <c r="C18" s="2">
        <v>50000.0</v>
      </c>
      <c r="D18" s="2" t="s">
        <v>122</v>
      </c>
      <c r="E18" s="2" t="s">
        <v>124</v>
      </c>
    </row>
    <row r="19">
      <c r="A19" s="2" t="s">
        <v>126</v>
      </c>
      <c r="B19" s="2">
        <v>24.0</v>
      </c>
      <c r="C19" s="2">
        <v>24.0</v>
      </c>
      <c r="D19" s="2" t="s">
        <v>128</v>
      </c>
      <c r="E19" s="2" t="s">
        <v>130</v>
      </c>
    </row>
    <row r="20">
      <c r="A20" s="2" t="s">
        <v>131</v>
      </c>
      <c r="B20" s="2">
        <v>18.0</v>
      </c>
      <c r="C20" s="2">
        <v>18.0</v>
      </c>
      <c r="D20" s="2" t="s">
        <v>128</v>
      </c>
      <c r="E20" s="2" t="s">
        <v>132</v>
      </c>
    </row>
    <row r="21">
      <c r="A21" s="2" t="s">
        <v>135</v>
      </c>
      <c r="B21" s="2">
        <v>0.06</v>
      </c>
      <c r="C21" s="2">
        <v>0.06</v>
      </c>
      <c r="D21" s="2" t="s">
        <v>136</v>
      </c>
      <c r="E21" s="2" t="s">
        <v>137</v>
      </c>
    </row>
    <row r="22">
      <c r="A22" s="2" t="s">
        <v>139</v>
      </c>
      <c r="B22" s="2">
        <v>0.04</v>
      </c>
      <c r="C22" s="2">
        <v>0.04</v>
      </c>
      <c r="D22" s="2" t="s">
        <v>136</v>
      </c>
      <c r="E22" s="2" t="s">
        <v>145</v>
      </c>
    </row>
    <row r="23">
      <c r="A23" s="2" t="s">
        <v>148</v>
      </c>
      <c r="B23" s="2">
        <v>0.04</v>
      </c>
      <c r="C23" s="2">
        <v>0.04</v>
      </c>
      <c r="D23" s="2" t="s">
        <v>136</v>
      </c>
      <c r="E23" s="2" t="s">
        <v>154</v>
      </c>
    </row>
    <row r="24">
      <c r="A24" s="2" t="s">
        <v>156</v>
      </c>
      <c r="B24" s="2">
        <v>1500.0</v>
      </c>
      <c r="C24" s="2">
        <v>1500.0</v>
      </c>
      <c r="D24" s="2" t="s">
        <v>158</v>
      </c>
      <c r="E24" s="2" t="s">
        <v>159</v>
      </c>
    </row>
    <row r="25">
      <c r="A25" s="2" t="s">
        <v>161</v>
      </c>
      <c r="B25" s="2">
        <v>0.45</v>
      </c>
      <c r="C25" s="2">
        <v>0.45</v>
      </c>
      <c r="D25" s="2" t="s">
        <v>103</v>
      </c>
      <c r="E25" s="2" t="s">
        <v>169</v>
      </c>
    </row>
    <row r="26">
      <c r="A26" s="2" t="s">
        <v>170</v>
      </c>
      <c r="B26" s="2">
        <v>0.2</v>
      </c>
      <c r="C26" s="2">
        <v>0.2</v>
      </c>
      <c r="D26" s="2" t="s">
        <v>174</v>
      </c>
      <c r="E26" s="2" t="s">
        <v>175</v>
      </c>
    </row>
    <row r="27">
      <c r="A27" s="2" t="s">
        <v>176</v>
      </c>
      <c r="B27" s="2">
        <v>0.35</v>
      </c>
      <c r="C27" s="2">
        <v>0.35</v>
      </c>
      <c r="D27" s="2" t="s">
        <v>177</v>
      </c>
      <c r="E27" s="2" t="s">
        <v>178</v>
      </c>
    </row>
    <row r="28">
      <c r="A28" s="2" t="s">
        <v>180</v>
      </c>
      <c r="B28" s="2">
        <v>4000000.0</v>
      </c>
      <c r="C28" s="2">
        <v>4000000.0</v>
      </c>
      <c r="D28" s="2" t="s">
        <v>185</v>
      </c>
      <c r="E28" s="2" t="s">
        <v>187</v>
      </c>
    </row>
    <row r="29">
      <c r="A29" s="2" t="s">
        <v>191</v>
      </c>
      <c r="B29" s="2">
        <v>0.04</v>
      </c>
      <c r="C29" s="2">
        <v>0.04</v>
      </c>
      <c r="D29" s="2" t="s">
        <v>177</v>
      </c>
      <c r="E29" s="2" t="s">
        <v>193</v>
      </c>
    </row>
    <row r="30">
      <c r="A30" s="2" t="s">
        <v>194</v>
      </c>
      <c r="B30" s="2">
        <v>100.0</v>
      </c>
      <c r="C30" s="2">
        <v>100.0</v>
      </c>
      <c r="D30" s="2" t="s">
        <v>196</v>
      </c>
      <c r="E30" s="2" t="s">
        <v>197</v>
      </c>
    </row>
    <row r="31">
      <c r="A31" s="2" t="s">
        <v>198</v>
      </c>
      <c r="B31" s="2">
        <v>0.85</v>
      </c>
      <c r="C31" s="2">
        <v>0.85</v>
      </c>
      <c r="D31" s="2" t="s">
        <v>103</v>
      </c>
      <c r="E31" s="2" t="s">
        <v>199</v>
      </c>
    </row>
    <row r="32">
      <c r="A32" s="2" t="s">
        <v>200</v>
      </c>
      <c r="B32" s="2">
        <v>0.25</v>
      </c>
      <c r="C32" s="2">
        <v>0.25</v>
      </c>
      <c r="D32" s="2" t="s">
        <v>201</v>
      </c>
      <c r="E32" s="2" t="s">
        <v>202</v>
      </c>
    </row>
    <row r="33">
      <c r="A33" s="2" t="s">
        <v>203</v>
      </c>
      <c r="B33" s="2">
        <v>600000.0</v>
      </c>
      <c r="C33" s="2">
        <v>600000.0</v>
      </c>
      <c r="D33" s="2" t="s">
        <v>185</v>
      </c>
      <c r="E33" s="2" t="s">
        <v>204</v>
      </c>
    </row>
    <row r="34">
      <c r="A34" s="2" t="s">
        <v>205</v>
      </c>
      <c r="B34" s="2">
        <v>0.1</v>
      </c>
      <c r="C34" s="2">
        <v>0.1</v>
      </c>
      <c r="D34" s="2" t="s">
        <v>103</v>
      </c>
      <c r="E34" s="2" t="s">
        <v>206</v>
      </c>
    </row>
    <row r="35">
      <c r="A35" s="2" t="s">
        <v>207</v>
      </c>
      <c r="B35" s="2">
        <v>0.6</v>
      </c>
      <c r="C35" s="2">
        <v>0.6</v>
      </c>
      <c r="D35" s="2" t="s">
        <v>103</v>
      </c>
      <c r="E35" s="2" t="s">
        <v>208</v>
      </c>
    </row>
    <row r="36">
      <c r="A36" s="2" t="s">
        <v>209</v>
      </c>
      <c r="B36" s="2">
        <v>0.115</v>
      </c>
      <c r="C36" s="2">
        <v>0.115</v>
      </c>
      <c r="D36" s="2" t="s">
        <v>136</v>
      </c>
      <c r="E36" s="2" t="s">
        <v>210</v>
      </c>
    </row>
    <row r="37">
      <c r="A37" s="2" t="s">
        <v>211</v>
      </c>
      <c r="B37" s="2">
        <v>15.0</v>
      </c>
      <c r="C37" s="2">
        <v>15.0</v>
      </c>
      <c r="D37" s="2" t="s">
        <v>212</v>
      </c>
      <c r="E37" s="2" t="s">
        <v>213</v>
      </c>
    </row>
    <row r="38">
      <c r="A38" s="2" t="s">
        <v>214</v>
      </c>
      <c r="B38" s="2">
        <v>0.015</v>
      </c>
      <c r="C38" s="2">
        <v>0.015</v>
      </c>
      <c r="D38" s="2" t="s">
        <v>215</v>
      </c>
      <c r="E38" s="2" t="s">
        <v>216</v>
      </c>
    </row>
    <row r="39">
      <c r="A39" s="2" t="s">
        <v>217</v>
      </c>
      <c r="B39" s="2">
        <v>12.0</v>
      </c>
      <c r="C39" s="2">
        <v>12.0</v>
      </c>
      <c r="D39" s="2" t="s">
        <v>128</v>
      </c>
      <c r="E39" s="2" t="s">
        <v>218</v>
      </c>
    </row>
    <row r="40">
      <c r="A40" s="2" t="s">
        <v>219</v>
      </c>
      <c r="B40" s="2">
        <v>0.3</v>
      </c>
      <c r="C40" s="2">
        <v>0.3</v>
      </c>
      <c r="D40" s="2" t="s">
        <v>103</v>
      </c>
      <c r="E40" s="2" t="s">
        <v>220</v>
      </c>
    </row>
    <row r="41">
      <c r="A41" s="2" t="s">
        <v>221</v>
      </c>
      <c r="B41" s="2">
        <v>10.0</v>
      </c>
      <c r="C41" s="2">
        <v>10.0</v>
      </c>
      <c r="D41" s="2" t="s">
        <v>222</v>
      </c>
      <c r="E41" s="2" t="s">
        <v>223</v>
      </c>
    </row>
    <row r="42">
      <c r="A42" s="2" t="s">
        <v>224</v>
      </c>
      <c r="B42" s="2">
        <v>0.1</v>
      </c>
      <c r="C42" s="2">
        <v>0.1</v>
      </c>
      <c r="D42" s="2" t="s">
        <v>103</v>
      </c>
      <c r="E42" s="2" t="s">
        <v>225</v>
      </c>
    </row>
    <row r="43">
      <c r="A43" s="2" t="s">
        <v>226</v>
      </c>
      <c r="B43" s="2">
        <v>0.02</v>
      </c>
      <c r="C43" s="2">
        <v>0.02</v>
      </c>
      <c r="D43" s="2" t="s">
        <v>227</v>
      </c>
      <c r="E43" s="2" t="s">
        <v>228</v>
      </c>
    </row>
    <row r="44">
      <c r="A44" s="2" t="s">
        <v>229</v>
      </c>
      <c r="B44" s="2">
        <v>2.0E7</v>
      </c>
      <c r="C44" s="2">
        <v>2.0E7</v>
      </c>
      <c r="D44" s="2" t="s">
        <v>74</v>
      </c>
      <c r="E44" s="2" t="s">
        <v>230</v>
      </c>
    </row>
    <row r="45">
      <c r="A45" s="2" t="s">
        <v>231</v>
      </c>
      <c r="B45" s="2">
        <v>0.15</v>
      </c>
      <c r="C45" s="2">
        <v>0.15</v>
      </c>
      <c r="D45" s="2" t="s">
        <v>103</v>
      </c>
      <c r="E45" s="2" t="s">
        <v>232</v>
      </c>
    </row>
    <row r="46">
      <c r="A46" s="2" t="s">
        <v>233</v>
      </c>
      <c r="B46" s="2">
        <v>1.3</v>
      </c>
      <c r="C46" s="2">
        <v>1.3</v>
      </c>
      <c r="D46" s="2" t="s">
        <v>234</v>
      </c>
      <c r="E46" s="2" t="s">
        <v>235</v>
      </c>
    </row>
    <row r="47">
      <c r="A47" s="2" t="s">
        <v>236</v>
      </c>
      <c r="B47" s="2">
        <v>1.0</v>
      </c>
      <c r="C47" s="2">
        <v>1.0</v>
      </c>
      <c r="D47" s="2" t="s">
        <v>237</v>
      </c>
      <c r="E47" s="2" t="s">
        <v>238</v>
      </c>
    </row>
  </sheetData>
  <drawing r:id="rId1"/>
</worksheet>
</file>