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view" sheetId="1" r:id="rId5"/>
    <sheet state="visible" name="Inputs" sheetId="2" r:id="rId6"/>
    <sheet state="visible" name="Areas" sheetId="3" r:id="rId7"/>
    <sheet state="visible" name="Cost" sheetId="4" r:id="rId8"/>
    <sheet state="visible" name="Operations" sheetId="5" r:id="rId9"/>
    <sheet state="visible" name="Funding" sheetId="6" r:id="rId10"/>
    <sheet state="visible" name="Cashflow" sheetId="7" r:id="rId11"/>
    <sheet state="visible" name="Sensitivity" sheetId="8" r:id="rId12"/>
    <sheet state="visible" name="Programme" sheetId="9" r:id="rId13"/>
    <sheet state="visible" name="Sources" sheetId="10" r:id="rId14"/>
    <sheet state="visible" name="TimingLand" sheetId="11" r:id="rId15"/>
  </sheets>
  <definedNames/>
  <calcPr/>
</workbook>
</file>

<file path=xl/sharedStrings.xml><?xml version="1.0" encoding="utf-8"?>
<sst xmlns="http://schemas.openxmlformats.org/spreadsheetml/2006/main" count="481" uniqueCount="446">
  <si>
    <t>Component</t>
  </si>
  <si>
    <t>DIRECTIONAL — no registered model</t>
  </si>
  <si>
    <t>Input</t>
  </si>
  <si>
    <t>Cost item</t>
  </si>
  <si>
    <t>Quantity</t>
  </si>
  <si>
    <t>GFA m2</t>
  </si>
  <si>
    <t>Footprint test m2</t>
  </si>
  <si>
    <t>Portion / qualification</t>
  </si>
  <si>
    <t>Hotel</t>
  </si>
  <si>
    <t>Value</t>
  </si>
  <si>
    <t>Unit</t>
  </si>
  <si>
    <t>Evidence / qualification</t>
  </si>
  <si>
    <t>Hotel keys</t>
  </si>
  <si>
    <t>Internal partner sense check, 8 September 2026</t>
  </si>
  <si>
    <t>keys</t>
  </si>
  <si>
    <t>Design hypothesis, not market-supported demand; test 24/40/60 keys</t>
  </si>
  <si>
    <t>R ex VAT</t>
  </si>
  <si>
    <t>Hotel GFA per key</t>
  </si>
  <si>
    <t>m2/key</t>
  </si>
  <si>
    <t>Method / limitation</t>
  </si>
  <si>
    <t>Design allowance including common/back-of-house; not room size</t>
  </si>
  <si>
    <t>Office GLA</t>
  </si>
  <si>
    <t>m2</t>
  </si>
  <si>
    <t>Ten modules of 100 m2; not pre-let</t>
  </si>
  <si>
    <t>Prepared by</t>
  </si>
  <si>
    <t>P6, 2-storey design hypothesis; 40 keys incl 32 standard + 8 family/accessibility mix to agree</t>
  </si>
  <si>
    <t>Office gross-up</t>
  </si>
  <si>
    <t>Codex / Marvin</t>
  </si>
  <si>
    <t>GFA/GLA</t>
  </si>
  <si>
    <t>Offices</t>
  </si>
  <si>
    <t>Design assumption; architect to measure</t>
  </si>
  <si>
    <t>Hotel building and FF&amp;E per key</t>
  </si>
  <si>
    <t>Decision</t>
  </si>
  <si>
    <t>R/key, Sep 2026</t>
  </si>
  <si>
    <t>Do NOT commit to this own-build mix on these assumptions. Test lower-capital/ground-lease options and secure operator/QS evidence.</t>
  </si>
  <si>
    <t>Directional calibration to AECOM 2024/25 p56 midscale R1.34m–R2.01m/key; not a 2026 quote</t>
  </si>
  <si>
    <t>P7, 10 x 100m2 modules; medical only if licensing/services allow</t>
  </si>
  <si>
    <t>Office building rate</t>
  </si>
  <si>
    <t>Summary cost before finance</t>
  </si>
  <si>
    <t>R/GFA m2, Sep 2026</t>
  </si>
  <si>
    <t>Directional calibration to AECOM p54 R10,700–R13,100 at Jul 2024; includes typical tenant allowance/services</t>
  </si>
  <si>
    <t>Total buildings</t>
  </si>
  <si>
    <t>Not additive</t>
  </si>
  <si>
    <t>Parking bays</t>
  </si>
  <si>
    <t>Building + FF&amp;E + normal building services; do not add hotel GFA cost again</t>
  </si>
  <si>
    <t>bays</t>
  </si>
  <si>
    <t>60 hotel + 40 office + 20 visitor/shared; not statutory requirement</t>
  </si>
  <si>
    <t>Parking area per bay</t>
  </si>
  <si>
    <t>m2/bay</t>
  </si>
  <si>
    <t>Quantity total mixes units and area: do not use B4</t>
  </si>
  <si>
    <t>Includes manoeuvring/aisles; assumption</t>
  </si>
  <si>
    <t>Parking</t>
  </si>
  <si>
    <t>Parking rate</t>
  </si>
  <si>
    <t>R/m2, Sep 2026</t>
  </si>
  <si>
    <t>AECOM p54 Jul 2024 on-grade R750–R950/m2; adjusted working allowance</t>
  </si>
  <si>
    <t>Civil infrastructure</t>
  </si>
  <si>
    <t>R</t>
  </si>
  <si>
    <t>UNQUOTED: earthworks, roads excluding parking, water/sewer/stormwater; allocations only</t>
  </si>
  <si>
    <t>Electrical infrastructure</t>
  </si>
  <si>
    <t>120 bays, 3600m2 working reservation, not certified parking</t>
  </si>
  <si>
    <t>UNQUOTED: bulk/reticulation and resilience; no subsidy; may be insufficient</t>
  </si>
  <si>
    <t>P4 gross land</t>
  </si>
  <si>
    <t>GFA, not GLA</t>
  </si>
  <si>
    <t>Stabilised NOI</t>
  </si>
  <si>
    <t>SG3820/1998; EXCLUDED from base construction/income</t>
  </si>
  <si>
    <t>Public realm</t>
  </si>
  <si>
    <t>P6 gross land</t>
  </si>
  <si>
    <t>UNQUOTED: on-site landscape/walking route only; excludes off-site dam works and mosque</t>
  </si>
  <si>
    <t>SG3822/1998</t>
  </si>
  <si>
    <t>Professional fees</t>
  </si>
  <si>
    <t>P7 gross land</t>
  </si>
  <si>
    <t>On grade, includes parking aisles; excludes separate roads</t>
  </si>
  <si>
    <t>fraction of hard costs</t>
  </si>
  <si>
    <t>Full-development design/engineering/QS/DM allowance, excluding diagnostic package below; reconcile actual appointments</t>
  </si>
  <si>
    <t>SG3823/1998</t>
  </si>
  <si>
    <t>Civil works</t>
  </si>
  <si>
    <t>Unlevered yield excluding land</t>
  </si>
  <si>
    <t>Contingency</t>
  </si>
  <si>
    <t>Combined gross hectares</t>
  </si>
  <si>
    <t>fraction of hard + fees</t>
  </si>
  <si>
    <t>Early design/site risk allowance, not verified cost ceiling</t>
  </si>
  <si>
    <t>Allowance</t>
  </si>
  <si>
    <t>Diagnostic package</t>
  </si>
  <si>
    <t>Electrical works</t>
  </si>
  <si>
    <t>UNQUOTED envelope: planner150k survey/flood200k civils150k legal100k environmental150k architect250k QS100k market/operator150k Akoma outstanding-scope allowance150k contingency100k. NOT appointments or extra approved fee</t>
  </si>
  <si>
    <t>Pre-opening working capital</t>
  </si>
  <si>
    <t>10.889ha from three SG diagrams; P8 road not included</t>
  </si>
  <si>
    <t>Hotel mobilisation, operating float and leasing allowance; excludes FF&amp;E already in hotel rate</t>
  </si>
  <si>
    <t>Hypothetical loan DSCR</t>
  </si>
  <si>
    <t>P6 historic FAR capacity</t>
  </si>
  <si>
    <t>Annual escalation</t>
  </si>
  <si>
    <t>fraction/year</t>
  </si>
  <si>
    <t>Sensitivity assumption, not measured tender index; base rates are Sep 2026</t>
  </si>
  <si>
    <t>Allowance, no grants/subsidies</t>
  </si>
  <si>
    <t>Preconstruction months</t>
  </si>
  <si>
    <t>months from T0</t>
  </si>
  <si>
    <t>Historic instrument only; NOT buildable yield</t>
  </si>
  <si>
    <t>Includes packaging and all statutory/design/funding work; not a municipal forecast</t>
  </si>
  <si>
    <t>No subsidy</t>
  </si>
  <si>
    <t>On-site only</t>
  </si>
  <si>
    <t>No subsidies entered or assumed. Linbro/CoJ regression fixture is not Haarties infrastructure evidence.</t>
  </si>
  <si>
    <t>P7 historic FAR capacity</t>
  </si>
  <si>
    <t>Construction months</t>
  </si>
  <si>
    <t>months</t>
  </si>
  <si>
    <t>Assumption for combined base; no contractor validation</t>
  </si>
  <si>
    <t>Hard cost subtotal</t>
  </si>
  <si>
    <t>Historic instrument only; floodline/title/current scheme still required</t>
  </si>
  <si>
    <t>What this is</t>
  </si>
  <si>
    <t>Monthly holding cost</t>
  </si>
  <si>
    <t>New internal hypothesis workbook authorised by Mo, not a copied or registered source model. Existing source files stay read-only.</t>
  </si>
  <si>
    <t>R/month</t>
  </si>
  <si>
    <t>Pre-opening rates, security and administration; no land debt assumed</t>
  </si>
  <si>
    <t>Hotel net ADR</t>
  </si>
  <si>
    <t>R/occupied room night ex VAT</t>
  </si>
  <si>
    <t>Decision-material</t>
  </si>
  <si>
    <t>TEST INPUT, no operator quote or booked-room evidence; excludes meals</t>
  </si>
  <si>
    <t>Sep 2026 prices</t>
  </si>
  <si>
    <t>Every result requires Mo and professional verification before reliance. Arithmetic validation is not investment approval.</t>
  </si>
  <si>
    <t>Hotel stabilised occupancy</t>
  </si>
  <si>
    <t>fraction</t>
  </si>
  <si>
    <t>TEST INPUT, not forecast; July secondary STR evidence was 25%, not hotel-equivalent</t>
  </si>
  <si>
    <t>Sense check 1</t>
  </si>
  <si>
    <t>Ancillary hotel revenue</t>
  </si>
  <si>
    <t>Is 40-key hotel + 1,000m2 office GLA the right test mix? Alternatives: 24-key phase; operator ground lease; conditional residential.</t>
  </si>
  <si>
    <t>fraction of room revenue</t>
  </si>
  <si>
    <t>Food/beverage/other, unverified</t>
  </si>
  <si>
    <t>Sense check 2</t>
  </si>
  <si>
    <t>Hotel variable operating costs</t>
  </si>
  <si>
    <t>Replace ADR/occupancy/rent and cost assumptions. All property-level economics remain unverified.</t>
  </si>
  <si>
    <t>Full-development allowance, not a contract</t>
  </si>
  <si>
    <t>fraction of total hotel revenue</t>
  </si>
  <si>
    <t>Includes assumed sales/distribution and variable operations; operator verification needed</t>
  </si>
  <si>
    <t>Hotel fixed annual costs</t>
  </si>
  <si>
    <t>R/year</t>
  </si>
  <si>
    <t>Sense check 3</t>
  </si>
  <si>
    <t>Includes staff base, utilities base, admin, insurance, rates and management; no separate management fee double count</t>
  </si>
  <si>
    <t>Confirm investment capacity, required return, land opportunity valuation and whether debt is acceptable.</t>
  </si>
  <si>
    <t>Hotel replacement reserve</t>
  </si>
  <si>
    <t>FF&amp;E replacement reserve after operating costs</t>
  </si>
  <si>
    <t>Exclusions</t>
  </si>
  <si>
    <t>P4 residential, mosque, QSR, padel/equestrian, off-site dam rights, land acquisition cash, income tax, disposal/transfer costs and unquoted abnormal works beyond allowances.</t>
  </si>
  <si>
    <t>Office net rent</t>
  </si>
  <si>
    <t>R/GLA m2/month ex VAT</t>
  </si>
  <si>
    <t>TEST INPUT: Seeff CLS5705 asking R7,500/101m2 = R74.26; assumed new-build premium, not achieved</t>
  </si>
  <si>
    <t>Applied once to hard cost and professional fees</t>
  </si>
  <si>
    <t>VAT</t>
  </si>
  <si>
    <t>Office occupancy</t>
  </si>
  <si>
    <t>Ex VAT case; gross VAT proxy separately. No assumed recovery credit or subsidy. Tax adviser needed.</t>
  </si>
  <si>
    <t>Works at Sep 2026 prices</t>
  </si>
  <si>
    <t>Unverified stabilised leased/paid share</t>
  </si>
  <si>
    <t>Office non-recoverable costs</t>
  </si>
  <si>
    <t>fraction of collected rent</t>
  </si>
  <si>
    <t>Includes vacancy-related operating exposure, maintenance, rates, insurance/admin; no recoveries income assumed</t>
  </si>
  <si>
    <t>No IRR</t>
  </si>
  <si>
    <t>Stabilised yield and illustrative cap value only. No approved terminal sale, tax or dated equity flows, so no invented IRR.</t>
  </si>
  <si>
    <t>Excludes diagnostic/pre-opening/holding/finance</t>
  </si>
  <si>
    <t>Shared estate annual cost</t>
  </si>
  <si>
    <t>Residual estate/security/admin beyond building budgets; QS/operator must remove any overlap</t>
  </si>
  <si>
    <t>Cashflow</t>
  </si>
  <si>
    <t>Escalation to construction midpoint</t>
  </si>
  <si>
    <t>Target development yield</t>
  </si>
  <si>
    <t>78-month illustrative schedule; uniform works draw, fixed nominal income, 12-month ramp. Not a construction valuation programme.</t>
  </si>
  <si>
    <t>Internal screening hurdle only, for Mo to choose; not market cap rate</t>
  </si>
  <si>
    <t>Capitalisation rate</t>
  </si>
  <si>
    <t>Identity</t>
  </si>
  <si>
    <t>Unverified stabilised valuation sensitivity, not valuer evidence; excludes development risk</t>
  </si>
  <si>
    <t>Only Waterfront Erf1029. Separate Xanadu/Zeinab three-home opportunity excluded.</t>
  </si>
  <si>
    <t>Hypothetical loan LTC</t>
  </si>
  <si>
    <t>Illustrative 60% of pre-finance cost excluding land and VAT, NOT available funding</t>
  </si>
  <si>
    <t>Review status</t>
  </si>
  <si>
    <t>Non-independent self-review + arithmetic checks; partner sense check pending.</t>
  </si>
  <si>
    <t>Interest rate</t>
  </si>
  <si>
    <t>Assumed loan price; no term sheet</t>
  </si>
  <si>
    <t>Conservative midpoint escalation of whole works/fee/contingency subtotal</t>
  </si>
  <si>
    <t>Minimum DSCR</t>
  </si>
  <si>
    <t>times</t>
  </si>
  <si>
    <t>Screening assumption, lender to confirm</t>
  </si>
  <si>
    <t>Escalated works</t>
  </si>
  <si>
    <t>Amortisation years</t>
  </si>
  <si>
    <t>years</t>
  </si>
  <si>
    <t>Post-opening amortisation hypothesis</t>
  </si>
  <si>
    <t>Loan arrangement fee</t>
  </si>
  <si>
    <t>fraction of principal</t>
  </si>
  <si>
    <t>Unquoted finance charge</t>
  </si>
  <si>
    <t>Ramp months</t>
  </si>
  <si>
    <t>Not a QS estimate</t>
  </si>
  <si>
    <t>Linear from 50% of stabilised revenue to 100%; fixed costs do not ramp down</t>
  </si>
  <si>
    <t>Land opportunity value</t>
  </si>
  <si>
    <t>SENSITIVITY ONLY, no valuation; not an acquisition cash outflow for owned land</t>
  </si>
  <si>
    <t>Cash exposure proxy only; mixed-use recoverability/timing not determined</t>
  </si>
  <si>
    <t>Spent during packaging; not escalated</t>
  </si>
  <si>
    <t>Pre-opening capital</t>
  </si>
  <si>
    <t>Not FF&amp;E; not escalated</t>
  </si>
  <si>
    <t>Holding to opening</t>
  </si>
  <si>
    <t>Includes preconstruction and construction</t>
  </si>
  <si>
    <t>Total before finance</t>
  </si>
  <si>
    <t>Excludes land value and VAT, includes holding to opening</t>
  </si>
  <si>
    <t>Hypothetical debt</t>
  </si>
  <si>
    <t>Not committed; check Funding</t>
  </si>
  <si>
    <t>Construction interest reserve</t>
  </si>
  <si>
    <t>Straight-line principal draw, average 50%, simple interest; no capitalisation or preconstruction borrowing</t>
  </si>
  <si>
    <t>Loan fee</t>
  </si>
  <si>
    <t>Assumed paid from equity</t>
  </si>
  <si>
    <t>Total with hypothetical finance</t>
  </si>
  <si>
    <t>Not a fully funded scheme; opening ramp deficits extra</t>
  </si>
  <si>
    <t>Illustrative land opportunity value</t>
  </si>
  <si>
    <t>Non-cash sensitivity, not a valuation</t>
  </si>
  <si>
    <t>Economic cost incl land</t>
  </si>
  <si>
    <t>Excludes VAT and ramp funding</t>
  </si>
  <si>
    <t>Gross VAT exposure proxy</t>
  </si>
  <si>
    <t>Not a tax calculation; no VAT on land/interest here; gross proxy before any recovery</t>
  </si>
  <si>
    <t>Own-funded cost incl land</t>
  </si>
  <si>
    <t>Unlevered economic basis excludes financing</t>
  </si>
  <si>
    <t>Total GFA</t>
  </si>
  <si>
    <t>Buildings only</t>
  </si>
  <si>
    <t>Stabilised operation</t>
  </si>
  <si>
    <t>R/year or ratio</t>
  </si>
  <si>
    <t>Method / qualification</t>
  </si>
  <si>
    <t>Hotel room revenue</t>
  </si>
  <si>
    <t>Funding test</t>
  </si>
  <si>
    <t>Qualification</t>
  </si>
  <si>
    <t>Illustrative principal</t>
  </si>
  <si>
    <t>Net of output VAT, full year at test occupancy</t>
  </si>
  <si>
    <t>Hotel ancillary revenue</t>
  </si>
  <si>
    <t>Assumption, no contracted demand</t>
  </si>
  <si>
    <t>Hotel total revenue</t>
  </si>
  <si>
    <t>Not a lender offer</t>
  </si>
  <si>
    <t>Annual amortising debt service</t>
  </si>
  <si>
    <t>Hotel variable costs</t>
  </si>
  <si>
    <t>Hotel fixed costs</t>
  </si>
  <si>
    <t>Monthly annuity, annual total</t>
  </si>
  <si>
    <t>Maintained during downside/ramp</t>
  </si>
  <si>
    <t>Stabilised DSCR</t>
  </si>
  <si>
    <t>Hotel NOI after reserve</t>
  </si>
  <si>
    <t>NOI/debt service</t>
  </si>
  <si>
    <t>Maximum annual service at minimum DSCR</t>
  </si>
  <si>
    <t>Before financing and income tax</t>
  </si>
  <si>
    <t>Office full rent</t>
  </si>
  <si>
    <t>Assumes NOI is acceptable CFADS proxy</t>
  </si>
  <si>
    <t>Income-supported debt</t>
  </si>
  <si>
    <t>No other recoveries counted</t>
  </si>
  <si>
    <t>Office collected rent</t>
  </si>
  <si>
    <t>No LTV/other lender tests applied</t>
  </si>
  <si>
    <t>Loan shortfall to tested LTC</t>
  </si>
  <si>
    <t>Office NOI</t>
  </si>
  <si>
    <t>Income constraint only</t>
  </si>
  <si>
    <t>Equity with tested loan</t>
  </si>
  <si>
    <t>Month</t>
  </si>
  <si>
    <t>Shared estate cost</t>
  </si>
  <si>
    <t>Stage</t>
  </si>
  <si>
    <t>Development spend ex finance/VAT</t>
  </si>
  <si>
    <t>Hotel revenue</t>
  </si>
  <si>
    <t>Hotel costs incl reserve</t>
  </si>
  <si>
    <t>Not deducted in component NOI, allocated below</t>
  </si>
  <si>
    <t>Before VAT/ramp; tested loan is not supportable if DSCR fails</t>
  </si>
  <si>
    <t>Estate cost</t>
  </si>
  <si>
    <t>Total NOI</t>
  </si>
  <si>
    <t>Total project NOI</t>
  </si>
  <si>
    <t>Tested debt service</t>
  </si>
  <si>
    <t>Equity if income-supported debt only</t>
  </si>
  <si>
    <t>Cumulative opening NOI</t>
  </si>
  <si>
    <t>Cumulative opening cash after debt</t>
  </si>
  <si>
    <t>T0</t>
  </si>
  <si>
    <t>Stabilised, before debt service and income tax</t>
  </si>
  <si>
    <t>Yield on prefinance development cost</t>
  </si>
  <si>
    <t>Unlevered cost excluding land; not IRR</t>
  </si>
  <si>
    <t>Before VAT/ramp; simple interest/fee repriced on income-supported principal</t>
  </si>
  <si>
    <t>Yield on economic cost incl land</t>
  </si>
  <si>
    <t>Year-one operating/debt reserve</t>
  </si>
  <si>
    <t>Unlevered cost with assumed land</t>
  </si>
  <si>
    <t>Yield on cost incl finance</t>
  </si>
  <si>
    <t>Not cash-on-cash return</t>
  </si>
  <si>
    <t>Opening-year deficit incl illustrative debt; see monthly rows 45–56</t>
  </si>
  <si>
    <t>Capitalised stabilised value</t>
  </si>
  <si>
    <t>Cash requirement with income-supported debt</t>
  </si>
  <si>
    <t>Before land opportunity value; gross VAT proxy, not bankable funding</t>
  </si>
  <si>
    <t>Illustrative only, no residual bare-land value for undeveloped portions</t>
  </si>
  <si>
    <t>No-debt cash need</t>
  </si>
  <si>
    <t>Value less cost incl finance</t>
  </si>
  <si>
    <t>Not realised loss; cost/value mismatch test</t>
  </si>
  <si>
    <t>Maximum cost at target yield</t>
  </si>
  <si>
    <t>Before land/finance if testing base construction</t>
  </si>
  <si>
    <t>All-equity cost, operating ramp deficit and gross VAT exposure; no loan interest/fees</t>
  </si>
  <si>
    <t>Funding verdict</t>
  </si>
  <si>
    <t>Required NOI at target yield</t>
  </si>
  <si>
    <t>Pass is not financing approval</t>
  </si>
  <si>
    <t>Required hotel occupancy</t>
  </si>
  <si>
    <t>Income-supported annual debt service</t>
  </si>
  <si>
    <t>Repriced debt, not the failed 60% LTC loan</t>
  </si>
  <si>
    <t>Income-supported opening-year reserve</t>
  </si>
  <si>
    <t>Above 100% = unattainable at these rates/costs</t>
  </si>
  <si>
    <t>Hotel operating break-even occupancy</t>
  </si>
  <si>
    <t>First 12 operating months, full fixed cost retained</t>
  </si>
  <si>
    <t>Before shared estate and debt</t>
  </si>
  <si>
    <t>Hotel share of hard cost</t>
  </si>
  <si>
    <t>Allocation assumption</t>
  </si>
  <si>
    <t>Hotel allocated development cost</t>
  </si>
  <si>
    <t>Direct escalated hotel cost plus pro-rata all common/soft costs</t>
  </si>
  <si>
    <t>Office allocated development cost</t>
  </si>
  <si>
    <t>Does not include all undeveloped land</t>
  </si>
  <si>
    <t>Hotel NOI after allocated estate</t>
  </si>
  <si>
    <t>Office NOI after allocated estate</t>
  </si>
  <si>
    <t>Hotel allocated yield</t>
  </si>
  <si>
    <t>Before finance and land</t>
  </si>
  <si>
    <t>Office allocated yield</t>
  </si>
  <si>
    <t>Case</t>
  </si>
  <si>
    <t>Hotel occupancy</t>
  </si>
  <si>
    <t>Net ADR</t>
  </si>
  <si>
    <t>Office rent</t>
  </si>
  <si>
    <t>Capex multiplier</t>
  </si>
  <si>
    <t>NOI R/year</t>
  </si>
  <si>
    <t>Yield on prefinance cost</t>
  </si>
  <si>
    <t>Illustrative value at 10%</t>
  </si>
  <si>
    <t>Downside</t>
  </si>
  <si>
    <t>Lower demand, higher costs; fixed hotel/estate cost maintained</t>
  </si>
  <si>
    <t>Base</t>
  </si>
  <si>
    <t>Working test, not forecast</t>
  </si>
  <si>
    <t>Upside</t>
  </si>
  <si>
    <t>Requires proof on all levers; not probability-weighted</t>
  </si>
  <si>
    <t>Historical STR occupancy stress</t>
  </si>
  <si>
    <t>25% July secondary STR observation; not hotel-equivalent</t>
  </si>
  <si>
    <t>Cost +20%</t>
  </si>
  <si>
    <t>Same operating income</t>
  </si>
  <si>
    <t>Office asking comp</t>
  </si>
  <si>
    <t>Asking rent from CLS5705; different premises</t>
  </si>
  <si>
    <t>Workstream</t>
  </si>
  <si>
    <t>Timing from illustrative T0 14 Sep 2026</t>
  </si>
  <si>
    <t>Output / predecessor</t>
  </si>
  <si>
    <t>Owner (proposed unless existing role)</t>
  </si>
  <si>
    <t>Partner sense check</t>
  </si>
  <si>
    <t>Now, before issue</t>
  </si>
  <si>
    <t>Mo + partners review mix, costs, logic and authority. No client/provider issue yet.</t>
  </si>
  <si>
    <t>Mo / partners</t>
  </si>
  <si>
    <t>Evidence and procurement</t>
  </si>
  <si>
    <t>Weeks 1–2, 14–25 Sep</t>
  </si>
  <si>
    <t>Retrieve May quote; confirm landowner authority; equal architect brief, scoped quotes, current rights/title/services inputs.</t>
  </si>
  <si>
    <t>Akoma; Zubair client/procurement coordination</t>
  </si>
  <si>
    <t>Constraint overlay</t>
  </si>
  <si>
    <t>Weeks 2–4, 21 Sep–9 Oct</t>
  </si>
  <si>
    <t>Planner rights schedule; survey/flood/dam line; civil and environmental desktop. Conditional where evidence late.</t>
  </si>
  <si>
    <t>Appointed specialists, not appointed by this draft</t>
  </si>
  <si>
    <t>Market/operator work</t>
  </si>
  <si>
    <t>Weeks 2–5, 21 Sep–16 Oct</t>
  </si>
  <si>
    <t>Achieved comparable rents, operator monthly P&amp;L, Nando response, competitor/vacancy/absorption checks.</t>
  </si>
  <si>
    <t>Akoma + market specialist</t>
  </si>
  <si>
    <t>Architect options</t>
  </si>
  <si>
    <t>Weeks 3–5, 28 Sep–16 Oct</t>
  </si>
  <si>
    <t>Three options, measured GFA/GLA/parking, P4 on/off; cost-neutral version if constraint overlay incomplete.</t>
  </si>
  <si>
    <t>Architect, through Akoma</t>
  </si>
  <si>
    <t>Cost and model</t>
  </si>
  <si>
    <t>Weeks 5–6, 12–23 Oct</t>
  </si>
  <si>
    <t>ID</t>
  </si>
  <si>
    <t>QS elemental cost, infrastructure packages, unit economics, tax and funding sensitivities.</t>
  </si>
  <si>
    <t>QS + Akoma</t>
  </si>
  <si>
    <t>Source</t>
  </si>
  <si>
    <t>Date / location</t>
  </si>
  <si>
    <t>Use / limitation</t>
  </si>
  <si>
    <t>Partner review</t>
  </si>
  <si>
    <t>Week 7, 26–30 Oct</t>
  </si>
  <si>
    <t>Numbers/logic sense check; no external issue before Mo clearance.</t>
  </si>
  <si>
    <t>S1</t>
  </si>
  <si>
    <t>Haarties bible + status</t>
  </si>
  <si>
    <t>Repo read 8 Sep 2026; bible audit 6 Sep</t>
  </si>
  <si>
    <t>Canonical synthesis has stale area and incomplete architect/planner record</t>
  </si>
  <si>
    <t>S2</t>
  </si>
  <si>
    <t>SG diagrams P4/P6/P7</t>
  </si>
  <si>
    <t>https://drive.google.com/drive/folders/1iQVgS-FfUoeRFzJp8J8dH0uCvUvOnl8v</t>
  </si>
  <si>
    <t>Visual reads, one page each: 5.3106 + 3.4576 + 2.1208 = 10.889ha; not title or developable area</t>
  </si>
  <si>
    <t>Package and client gate</t>
  </si>
  <si>
    <t>Week 8, 2–6 Nov</t>
  </si>
  <si>
    <t>Only if cleared: Stage 2 concept recommendation and next scoped commission.</t>
  </si>
  <si>
    <t>Akoma; client decision required</t>
  </si>
  <si>
    <t>S3</t>
  </si>
  <si>
    <t>Zoning Info.pdf pp2–3</t>
  </si>
  <si>
    <t>Same Site Info folder, 8 Feb 2001 letter / MC0026 24 Jan 2001</t>
  </si>
  <si>
    <t>Historic rights only; P4 to be submitted after P1–3 development; P6/P7 parking under Table G, NOT inherited P3 ratio</t>
  </si>
  <si>
    <t>Model planning lead</t>
  </si>
  <si>
    <t>24 months inclusive of packaging</t>
  </si>
  <si>
    <t>Illustrative central delay input, NOT promised approval date. Test 18/24/48 months.</t>
  </si>
  <si>
    <t>Planner / authority / funder dependent</t>
  </si>
  <si>
    <t>S4</t>
  </si>
  <si>
    <t>Pieter de Haas: SCHOEMANSVILLE DEVELOPMENT</t>
  </si>
  <si>
    <t>11 Dec 2025, Gmail message 19b0dad181b416f9</t>
  </si>
  <si>
    <t>Professional explanation, not municipal confirmation; substation servitude and dam-adjoining land require checks</t>
  </si>
  <si>
    <t>Construction</t>
  </si>
  <si>
    <t>S5</t>
  </si>
  <si>
    <t>18 months after all gates</t>
  </si>
  <si>
    <t>Portion4 rezoning quote acknowledgement</t>
  </si>
  <si>
    <t>Conditional on approvals, tender, servicing and finance.</t>
  </si>
  <si>
    <t>8 May 2026, Gmail message 19e06d62f2536c40</t>
  </si>
  <si>
    <t>Not appointed</t>
  </si>
  <si>
    <t>Quote receipt confirmed, attached quote NOT present in accessible reply, fee and appointment unverified</t>
  </si>
  <si>
    <t>Opening ramp</t>
  </si>
  <si>
    <t>S6</t>
  </si>
  <si>
    <t>Nando Site Proposal: Harties</t>
  </si>
  <si>
    <t>12 months after practical completion</t>
  </si>
  <si>
    <t>8/13 May 2026, Gmail thread 19d4800e30f73c83</t>
  </si>
  <si>
    <t>Lease-up and hotel ramp; fixed costs retained.</t>
  </si>
  <si>
    <t>Visit corroborated; last reply promises contact, no lease/viability conclusion</t>
  </si>
  <si>
    <t>Operator not secured</t>
  </si>
  <si>
    <t>S7</t>
  </si>
  <si>
    <t>Zubair architect instruction</t>
  </si>
  <si>
    <t>https://discord.com/channels/895016031842627635/1531218773628162148/1531222906649055263</t>
  </si>
  <si>
    <t>27 Jul 2026, Ahmed Saber Bham client-suggested; alternate quote requested; not appointed</t>
  </si>
  <si>
    <t>S8</t>
  </si>
  <si>
    <t>DM Report01</t>
  </si>
  <si>
    <t>https://docs.google.com/document/d/1TIIUosFHLuweBU6tFgzXTEyXUcMinHk36dzFCYWtUOE/edit</t>
  </si>
  <si>
    <t>12 Dec 2025, §§4–6 and AppendixA; current live doc read</t>
  </si>
  <si>
    <t>S9</t>
  </si>
  <si>
    <t>Town planning RFP</t>
  </si>
  <si>
    <t>https://docs.google.com/document/d/1wRng20bUQXDc8M9SxKmfiSOpEoVaNK5ej7EpMFJ-Cbs/edit</t>
  </si>
  <si>
    <t>27 Jul 2026, old 31Jul/7Aug procurement dates, no issue/appointment evidence</t>
  </si>
  <si>
    <t>S10</t>
  </si>
  <si>
    <t>AECOM Africa Cost Guide 2024/25</t>
  </si>
  <si>
    <t>https://aaqs.org/wp-content/uploads/2025/05/AECOM-Africa-Cost-Guide-2024-25.pdf</t>
  </si>
  <si>
    <t>PDF pp51,54,56, rate date Jul2024. Historic benchmark; no claim of current tender cost</t>
  </si>
  <si>
    <t>S11</t>
  </si>
  <si>
    <t>Seeff CLS5705, 113 Scott Street</t>
  </si>
  <si>
    <t>https://www.seeff.com/results/commercial/to-let/hartbeespoort/schoemansville/business-centre/765289/113-scott-street/</t>
  </si>
  <si>
    <t>Fetched8Sep:101m2 floor, R7500pm, available20Aug2026. Asking, VAT/recoveries not explicit, different stock</t>
  </si>
  <si>
    <t>S12</t>
  </si>
  <si>
    <t>Stage2 option screening research</t>
  </si>
  <si>
    <t>akoma-wiki/raw/research/haarties/research/stage-2-options-and-evidence-pack-v0-1-2026-07-27.md</t>
  </si>
  <si>
    <t>July evidence incl low-confidence STR occupancy25%; not achieved hotel trading</t>
  </si>
  <si>
    <t>S13</t>
  </si>
  <si>
    <t>Scoped TickTick project</t>
  </si>
  <si>
    <t>69ce2a1c8f088767a26e499e, read8Sep2026</t>
  </si>
  <si>
    <t>Outstanding Stage2 review and site privacy task; no new appointment proof</t>
  </si>
  <si>
    <t>S14</t>
  </si>
  <si>
    <t>Search boundary</t>
  </si>
  <si>
    <t>Akoma mailbox only, Apr2025–8Sep2026; broad all-time discovery also run</t>
  </si>
  <si>
    <t>40 matching threads/76 messages retrieved incl irrelevant matches; meeting content not relied on outside approved packs. No approved Haarties meeting pack returned. Not all partner mailboxes.</t>
  </si>
  <si>
    <t>S15</t>
  </si>
  <si>
    <t>Cross-project judgement</t>
  </si>
  <si>
    <t>project-bibles/judgement/*-judgement.md</t>
  </si>
  <si>
    <t>Own/global + generic subject search, no applicable tagged principle found; no cross-project cost assumptions imported</t>
  </si>
  <si>
    <t>Total months to opening</t>
  </si>
  <si>
    <t>Cost before finance R</t>
  </si>
  <si>
    <t>Yield excluding land</t>
  </si>
  <si>
    <t>Interpretation</t>
  </si>
  <si>
    <t>Timing hypothesis only; nominal income held fixed, no route promised</t>
  </si>
  <si>
    <t>Land opportunity sensitivity R</t>
  </si>
  <si>
    <t>Economic cost before finance R</t>
  </si>
  <si>
    <t>Unlevered yield</t>
  </si>
  <si>
    <t>Land value evidence</t>
  </si>
  <si>
    <t>No valuation; not acquisition cash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</si>
</sst>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;[Red](#,##0.00)"/>
    <numFmt numFmtId="165" formatCode="&quot;R&quot; #,##0.00"/>
    <numFmt numFmtId="166" formatCode="0.00&quot;x&quot;"/>
  </numFmts>
  <fonts count="4">
    <font>
      <sz val="10.0"/>
      <color rgb="FF000000"/>
      <name val="Arial"/>
      <scheme val="minor"/>
    </font>
    <font>
      <b/>
      <color rgb="FFFFFBF8"/>
      <name val="Arial"/>
      <scheme val="minor"/>
    </font>
    <font>
      <sz val="11.0"/>
      <color rgb="FF343A34"/>
      <name val="Arial"/>
    </font>
    <font>
      <sz val="11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43A34"/>
        <bgColor rgb="FF343A34"/>
      </patternFill>
    </fill>
    <fill>
      <patternFill patternType="solid">
        <fgColor rgb="FFE6F4D1"/>
        <bgColor rgb="FFE6F4D1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3" fontId="2" numFmtId="0" xfId="0" applyAlignment="1" applyFill="1" applyFont="1">
      <alignment shrinkToFit="0" vertical="top" wrapText="1"/>
    </xf>
    <xf borderId="0" fillId="0" fontId="2" numFmtId="164" xfId="0" applyAlignment="1" applyFont="1" applyNumberFormat="1">
      <alignment shrinkToFit="0" vertical="top" wrapText="1"/>
    </xf>
    <xf borderId="0" fillId="0" fontId="2" numFmtId="165" xfId="0" applyAlignment="1" applyFont="1" applyNumberFormat="1">
      <alignment shrinkToFit="0" vertical="top" wrapText="1"/>
    </xf>
    <xf borderId="0" fillId="0" fontId="2" numFmtId="10" xfId="0" applyAlignment="1" applyFont="1" applyNumberFormat="1">
      <alignment shrinkToFit="0" vertical="top" wrapText="1"/>
    </xf>
    <xf borderId="0" fillId="0" fontId="2" numFmtId="166" xfId="0" applyAlignment="1" applyFont="1" applyNumberFormat="1">
      <alignment shrinkToFit="0" vertical="top" wrapText="1"/>
    </xf>
    <xf borderId="0" fillId="2" fontId="1" numFmtId="0" xfId="0" applyAlignment="1" applyFill="1" applyFont="1">
      <alignment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3" numFmtId="0" xfId="0" applyAlignment="1" applyFont="1">
      <alignment shrinkToFit="0" wrapText="1"/>
    </xf>
    <xf borderId="0" fillId="0" fontId="3" numFmtId="164" xfId="0" applyAlignment="1" applyFont="1" applyNumberFormat="1">
      <alignment shrinkToFit="0" wrapText="1"/>
    </xf>
    <xf borderId="0" fillId="0" fontId="3" numFmtId="10" xfId="0" applyAlignment="1" applyFont="1" applyNumberForma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88"/>
    <col customWidth="1" min="2" max="2" width="100.13"/>
  </cols>
  <sheetData>
    <row r="1">
      <c r="A1" s="1" t="s">
        <v>1</v>
      </c>
      <c r="B1" s="1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2" t="s">
        <v>24</v>
      </c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 t="s">
        <v>32</v>
      </c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 t="s">
        <v>38</v>
      </c>
      <c r="B4" s="5">
        <f>Cost!B17</f>
        <v>163587702.3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 t="s">
        <v>63</v>
      </c>
      <c r="B5" s="5">
        <f>Operations!B14</f>
        <v>3378860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 t="s">
        <v>76</v>
      </c>
      <c r="B6" s="6">
        <f>Operations!B15</f>
        <v>0.02065473109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>
      <c r="A7" s="2" t="s">
        <v>88</v>
      </c>
      <c r="B7" s="7">
        <f>Funding!B4</f>
        <v>0.2455690528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>
      <c r="A8" s="2" t="s">
        <v>98</v>
      </c>
      <c r="B8" s="2" t="s">
        <v>100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 t="s">
        <v>107</v>
      </c>
      <c r="B9" s="2" t="s">
        <v>109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 t="s">
        <v>114</v>
      </c>
      <c r="B10" s="2" t="s">
        <v>117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>
      <c r="A11" s="2" t="s">
        <v>121</v>
      </c>
      <c r="B11" s="2" t="s">
        <v>123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>
      <c r="A12" s="2" t="s">
        <v>126</v>
      </c>
      <c r="B12" s="2" t="s">
        <v>128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>
      <c r="A13" s="2" t="s">
        <v>134</v>
      </c>
      <c r="B13" s="2" t="s">
        <v>136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>
      <c r="A14" s="2" t="s">
        <v>139</v>
      </c>
      <c r="B14" s="2" t="s">
        <v>140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>
      <c r="A15" s="2" t="s">
        <v>145</v>
      </c>
      <c r="B15" s="2" t="s">
        <v>147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>
      <c r="A16" s="2" t="s">
        <v>153</v>
      </c>
      <c r="B16" s="2" t="s">
        <v>154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>
      <c r="A17" s="2" t="s">
        <v>158</v>
      </c>
      <c r="B17" s="2" t="s">
        <v>161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>
      <c r="A18" s="2" t="s">
        <v>164</v>
      </c>
      <c r="B18" s="2" t="s">
        <v>166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>
      <c r="A19" s="2" t="s">
        <v>169</v>
      </c>
      <c r="B19" s="2" t="s">
        <v>170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88"/>
    <col customWidth="1" min="2" max="2" width="27.63"/>
    <col customWidth="1" min="3" max="4" width="43.88"/>
  </cols>
  <sheetData>
    <row r="1">
      <c r="A1" s="1" t="s">
        <v>2</v>
      </c>
      <c r="B1" s="1" t="s">
        <v>9</v>
      </c>
      <c r="C1" s="1" t="s">
        <v>10</v>
      </c>
      <c r="D1" s="1" t="s">
        <v>11</v>
      </c>
      <c r="E1" s="1"/>
      <c r="F1" s="1"/>
      <c r="G1" s="1"/>
      <c r="H1" s="1"/>
      <c r="I1" s="1"/>
      <c r="J1" s="1"/>
      <c r="K1" s="1"/>
      <c r="L1" s="1"/>
    </row>
    <row r="2">
      <c r="A2" s="2" t="s">
        <v>12</v>
      </c>
      <c r="B2" s="3">
        <v>40.0</v>
      </c>
      <c r="C2" s="2" t="s">
        <v>14</v>
      </c>
      <c r="D2" s="2" t="s">
        <v>15</v>
      </c>
      <c r="E2" s="2"/>
      <c r="F2" s="2"/>
      <c r="G2" s="2"/>
      <c r="H2" s="2"/>
      <c r="I2" s="2"/>
      <c r="J2" s="2"/>
      <c r="K2" s="2"/>
      <c r="L2" s="2"/>
    </row>
    <row r="3">
      <c r="A3" s="2" t="s">
        <v>17</v>
      </c>
      <c r="B3" s="3">
        <v>60.0</v>
      </c>
      <c r="C3" s="2" t="s">
        <v>18</v>
      </c>
      <c r="D3" s="2" t="s">
        <v>20</v>
      </c>
      <c r="E3" s="2"/>
      <c r="F3" s="2"/>
      <c r="G3" s="2"/>
      <c r="H3" s="2"/>
      <c r="I3" s="2"/>
      <c r="J3" s="2"/>
      <c r="K3" s="2"/>
      <c r="L3" s="2"/>
    </row>
    <row r="4">
      <c r="A4" s="2" t="s">
        <v>21</v>
      </c>
      <c r="B4" s="3">
        <v>1000.0</v>
      </c>
      <c r="C4" s="2" t="s">
        <v>22</v>
      </c>
      <c r="D4" s="2" t="s">
        <v>23</v>
      </c>
      <c r="E4" s="2"/>
      <c r="F4" s="2"/>
      <c r="G4" s="2"/>
      <c r="H4" s="2"/>
      <c r="I4" s="2"/>
      <c r="J4" s="2"/>
      <c r="K4" s="2"/>
      <c r="L4" s="2"/>
    </row>
    <row r="5">
      <c r="A5" s="2" t="s">
        <v>26</v>
      </c>
      <c r="B5" s="3">
        <v>1.2</v>
      </c>
      <c r="C5" s="2" t="s">
        <v>28</v>
      </c>
      <c r="D5" s="2" t="s">
        <v>30</v>
      </c>
      <c r="E5" s="2"/>
      <c r="F5" s="2"/>
      <c r="G5" s="2"/>
      <c r="H5" s="2"/>
      <c r="I5" s="2"/>
      <c r="J5" s="2"/>
      <c r="K5" s="2"/>
      <c r="L5" s="2"/>
    </row>
    <row r="6">
      <c r="A6" s="2" t="s">
        <v>31</v>
      </c>
      <c r="B6" s="3">
        <v>1800000.0</v>
      </c>
      <c r="C6" s="2" t="s">
        <v>33</v>
      </c>
      <c r="D6" s="2" t="s">
        <v>35</v>
      </c>
      <c r="E6" s="2"/>
      <c r="F6" s="2"/>
      <c r="G6" s="2"/>
      <c r="H6" s="2"/>
      <c r="I6" s="2"/>
      <c r="J6" s="2"/>
      <c r="K6" s="2"/>
      <c r="L6" s="2"/>
    </row>
    <row r="7">
      <c r="A7" s="2" t="s">
        <v>37</v>
      </c>
      <c r="B7" s="3">
        <v>14000.0</v>
      </c>
      <c r="C7" s="2" t="s">
        <v>39</v>
      </c>
      <c r="D7" s="2" t="s">
        <v>40</v>
      </c>
      <c r="E7" s="2"/>
      <c r="F7" s="2"/>
      <c r="G7" s="2"/>
      <c r="H7" s="2"/>
      <c r="I7" s="2"/>
      <c r="J7" s="2"/>
      <c r="K7" s="2"/>
      <c r="L7" s="2"/>
    </row>
    <row r="8">
      <c r="A8" s="2" t="s">
        <v>43</v>
      </c>
      <c r="B8" s="3">
        <v>120.0</v>
      </c>
      <c r="C8" s="2" t="s">
        <v>45</v>
      </c>
      <c r="D8" s="2" t="s">
        <v>46</v>
      </c>
      <c r="E8" s="2"/>
      <c r="F8" s="2"/>
      <c r="G8" s="2"/>
      <c r="H8" s="2"/>
      <c r="I8" s="2"/>
      <c r="J8" s="2"/>
      <c r="K8" s="2"/>
      <c r="L8" s="2"/>
    </row>
    <row r="9">
      <c r="A9" s="2" t="s">
        <v>47</v>
      </c>
      <c r="B9" s="3">
        <v>30.0</v>
      </c>
      <c r="C9" s="2" t="s">
        <v>48</v>
      </c>
      <c r="D9" s="2" t="s">
        <v>50</v>
      </c>
      <c r="E9" s="2"/>
      <c r="F9" s="2"/>
      <c r="G9" s="2"/>
      <c r="H9" s="2"/>
      <c r="I9" s="2"/>
      <c r="J9" s="2"/>
      <c r="K9" s="2"/>
      <c r="L9" s="2"/>
    </row>
    <row r="10">
      <c r="A10" s="2" t="s">
        <v>52</v>
      </c>
      <c r="B10" s="3">
        <v>1000.0</v>
      </c>
      <c r="C10" s="2" t="s">
        <v>53</v>
      </c>
      <c r="D10" s="2" t="s">
        <v>54</v>
      </c>
      <c r="E10" s="2"/>
      <c r="F10" s="2"/>
      <c r="G10" s="2"/>
      <c r="H10" s="2"/>
      <c r="I10" s="2"/>
      <c r="J10" s="2"/>
      <c r="K10" s="2"/>
      <c r="L10" s="2"/>
    </row>
    <row r="11">
      <c r="A11" s="2" t="s">
        <v>55</v>
      </c>
      <c r="B11" s="3">
        <v>8000000.0</v>
      </c>
      <c r="C11" s="2" t="s">
        <v>56</v>
      </c>
      <c r="D11" s="2" t="s">
        <v>57</v>
      </c>
      <c r="E11" s="2"/>
      <c r="F11" s="2"/>
      <c r="G11" s="2"/>
      <c r="H11" s="2"/>
      <c r="I11" s="2"/>
      <c r="J11" s="2"/>
      <c r="K11" s="2"/>
      <c r="L11" s="2"/>
    </row>
    <row r="12">
      <c r="A12" s="2" t="s">
        <v>58</v>
      </c>
      <c r="B12" s="3">
        <v>4000000.0</v>
      </c>
      <c r="C12" s="2" t="s">
        <v>56</v>
      </c>
      <c r="D12" s="2" t="s">
        <v>60</v>
      </c>
      <c r="E12" s="2"/>
      <c r="F12" s="2"/>
      <c r="G12" s="2"/>
      <c r="H12" s="2"/>
      <c r="I12" s="2"/>
      <c r="J12" s="2"/>
      <c r="K12" s="2"/>
      <c r="L12" s="2"/>
    </row>
    <row r="13">
      <c r="A13" s="2" t="s">
        <v>65</v>
      </c>
      <c r="B13" s="3">
        <v>2000000.0</v>
      </c>
      <c r="C13" s="2" t="s">
        <v>56</v>
      </c>
      <c r="D13" s="2" t="s">
        <v>67</v>
      </c>
      <c r="E13" s="2"/>
      <c r="F13" s="2"/>
      <c r="G13" s="2"/>
      <c r="H13" s="2"/>
      <c r="I13" s="2"/>
      <c r="J13" s="2"/>
      <c r="K13" s="2"/>
      <c r="L13" s="2"/>
    </row>
    <row r="14">
      <c r="A14" s="2" t="s">
        <v>69</v>
      </c>
      <c r="B14" s="3">
        <v>0.1</v>
      </c>
      <c r="C14" s="2" t="s">
        <v>72</v>
      </c>
      <c r="D14" s="2" t="s">
        <v>73</v>
      </c>
      <c r="E14" s="2"/>
      <c r="F14" s="2"/>
      <c r="G14" s="2"/>
      <c r="H14" s="2"/>
      <c r="I14" s="2"/>
      <c r="J14" s="2"/>
      <c r="K14" s="2"/>
      <c r="L14" s="2"/>
    </row>
    <row r="15">
      <c r="A15" s="2" t="s">
        <v>77</v>
      </c>
      <c r="B15" s="3">
        <v>0.15</v>
      </c>
      <c r="C15" s="2" t="s">
        <v>79</v>
      </c>
      <c r="D15" s="2" t="s">
        <v>80</v>
      </c>
      <c r="E15" s="2"/>
      <c r="F15" s="2"/>
      <c r="G15" s="2"/>
      <c r="H15" s="2"/>
      <c r="I15" s="2"/>
      <c r="J15" s="2"/>
      <c r="K15" s="2"/>
      <c r="L15" s="2"/>
    </row>
    <row r="16">
      <c r="A16" s="2" t="s">
        <v>82</v>
      </c>
      <c r="B16" s="3">
        <v>1500000.0</v>
      </c>
      <c r="C16" s="2" t="s">
        <v>56</v>
      </c>
      <c r="D16" s="2" t="s">
        <v>84</v>
      </c>
      <c r="E16" s="2"/>
      <c r="F16" s="2"/>
      <c r="G16" s="2"/>
      <c r="H16" s="2"/>
      <c r="I16" s="2"/>
      <c r="J16" s="2"/>
      <c r="K16" s="2"/>
      <c r="L16" s="2"/>
    </row>
    <row r="17">
      <c r="A17" s="2" t="s">
        <v>85</v>
      </c>
      <c r="B17" s="3">
        <v>2000000.0</v>
      </c>
      <c r="C17" s="2" t="s">
        <v>56</v>
      </c>
      <c r="D17" s="2" t="s">
        <v>87</v>
      </c>
      <c r="E17" s="2"/>
      <c r="F17" s="2"/>
      <c r="G17" s="2"/>
      <c r="H17" s="2"/>
      <c r="I17" s="2"/>
      <c r="J17" s="2"/>
      <c r="K17" s="2"/>
      <c r="L17" s="2"/>
    </row>
    <row r="18">
      <c r="A18" s="2" t="s">
        <v>90</v>
      </c>
      <c r="B18" s="3">
        <v>0.06</v>
      </c>
      <c r="C18" s="2" t="s">
        <v>91</v>
      </c>
      <c r="D18" s="2" t="s">
        <v>92</v>
      </c>
      <c r="E18" s="2"/>
      <c r="F18" s="2"/>
      <c r="G18" s="2"/>
      <c r="H18" s="2"/>
      <c r="I18" s="2"/>
      <c r="J18" s="2"/>
      <c r="K18" s="2"/>
      <c r="L18" s="2"/>
    </row>
    <row r="19">
      <c r="A19" s="2" t="s">
        <v>94</v>
      </c>
      <c r="B19" s="3">
        <v>24.0</v>
      </c>
      <c r="C19" s="2" t="s">
        <v>95</v>
      </c>
      <c r="D19" s="2" t="s">
        <v>97</v>
      </c>
      <c r="E19" s="2"/>
      <c r="F19" s="2"/>
      <c r="G19" s="2"/>
      <c r="H19" s="2"/>
      <c r="I19" s="2"/>
      <c r="J19" s="2"/>
      <c r="K19" s="2"/>
      <c r="L19" s="2"/>
    </row>
    <row r="20">
      <c r="A20" s="2" t="s">
        <v>102</v>
      </c>
      <c r="B20" s="3">
        <v>18.0</v>
      </c>
      <c r="C20" s="2" t="s">
        <v>103</v>
      </c>
      <c r="D20" s="2" t="s">
        <v>104</v>
      </c>
      <c r="E20" s="2"/>
      <c r="F20" s="2"/>
      <c r="G20" s="2"/>
      <c r="H20" s="2"/>
      <c r="I20" s="2"/>
      <c r="J20" s="2"/>
      <c r="K20" s="2"/>
      <c r="L20" s="2"/>
    </row>
    <row r="21">
      <c r="A21" s="2" t="s">
        <v>108</v>
      </c>
      <c r="B21" s="3">
        <v>50000.0</v>
      </c>
      <c r="C21" s="2" t="s">
        <v>110</v>
      </c>
      <c r="D21" s="2" t="s">
        <v>111</v>
      </c>
      <c r="E21" s="2"/>
      <c r="F21" s="2"/>
      <c r="G21" s="2"/>
      <c r="H21" s="2"/>
      <c r="I21" s="2"/>
      <c r="J21" s="2"/>
      <c r="K21" s="2"/>
      <c r="L21" s="2"/>
    </row>
    <row r="22">
      <c r="A22" s="2" t="s">
        <v>112</v>
      </c>
      <c r="B22" s="3">
        <v>1500.0</v>
      </c>
      <c r="C22" s="2" t="s">
        <v>113</v>
      </c>
      <c r="D22" s="2" t="s">
        <v>115</v>
      </c>
      <c r="E22" s="2"/>
      <c r="F22" s="2"/>
      <c r="G22" s="2"/>
      <c r="H22" s="2"/>
      <c r="I22" s="2"/>
      <c r="J22" s="2"/>
      <c r="K22" s="2"/>
      <c r="L22" s="2"/>
    </row>
    <row r="23">
      <c r="A23" s="2" t="s">
        <v>118</v>
      </c>
      <c r="B23" s="3">
        <v>0.45</v>
      </c>
      <c r="C23" s="2" t="s">
        <v>119</v>
      </c>
      <c r="D23" s="2" t="s">
        <v>120</v>
      </c>
      <c r="E23" s="2"/>
      <c r="F23" s="2"/>
      <c r="G23" s="2"/>
      <c r="H23" s="2"/>
      <c r="I23" s="2"/>
      <c r="J23" s="2"/>
      <c r="K23" s="2"/>
      <c r="L23" s="2"/>
    </row>
    <row r="24">
      <c r="A24" s="2" t="s">
        <v>122</v>
      </c>
      <c r="B24" s="3">
        <v>0.2</v>
      </c>
      <c r="C24" s="2" t="s">
        <v>124</v>
      </c>
      <c r="D24" s="2" t="s">
        <v>125</v>
      </c>
      <c r="E24" s="2"/>
      <c r="F24" s="2"/>
      <c r="G24" s="2"/>
      <c r="H24" s="2"/>
      <c r="I24" s="2"/>
      <c r="J24" s="2"/>
      <c r="K24" s="2"/>
      <c r="L24" s="2"/>
    </row>
    <row r="25">
      <c r="A25" s="2" t="s">
        <v>127</v>
      </c>
      <c r="B25" s="3">
        <v>0.35</v>
      </c>
      <c r="C25" s="2" t="s">
        <v>130</v>
      </c>
      <c r="D25" s="2" t="s">
        <v>131</v>
      </c>
      <c r="E25" s="2"/>
      <c r="F25" s="2"/>
      <c r="G25" s="2"/>
      <c r="H25" s="2"/>
      <c r="I25" s="2"/>
      <c r="J25" s="2"/>
      <c r="K25" s="2"/>
      <c r="L25" s="2"/>
    </row>
    <row r="26">
      <c r="A26" s="2" t="s">
        <v>132</v>
      </c>
      <c r="B26" s="3">
        <v>4000000.0</v>
      </c>
      <c r="C26" s="2" t="s">
        <v>133</v>
      </c>
      <c r="D26" s="2" t="s">
        <v>135</v>
      </c>
      <c r="E26" s="2"/>
      <c r="F26" s="2"/>
      <c r="G26" s="2"/>
      <c r="H26" s="2"/>
      <c r="I26" s="2"/>
      <c r="J26" s="2"/>
      <c r="K26" s="2"/>
      <c r="L26" s="2"/>
    </row>
    <row r="27">
      <c r="A27" s="2" t="s">
        <v>137</v>
      </c>
      <c r="B27" s="3">
        <v>0.04</v>
      </c>
      <c r="C27" s="2" t="s">
        <v>130</v>
      </c>
      <c r="D27" s="2" t="s">
        <v>138</v>
      </c>
      <c r="E27" s="2"/>
      <c r="F27" s="2"/>
      <c r="G27" s="2"/>
      <c r="H27" s="2"/>
      <c r="I27" s="2"/>
      <c r="J27" s="2"/>
      <c r="K27" s="2"/>
      <c r="L27" s="2"/>
    </row>
    <row r="28">
      <c r="A28" s="2" t="s">
        <v>141</v>
      </c>
      <c r="B28" s="3">
        <v>100.0</v>
      </c>
      <c r="C28" s="2" t="s">
        <v>142</v>
      </c>
      <c r="D28" s="2" t="s">
        <v>143</v>
      </c>
      <c r="E28" s="2"/>
      <c r="F28" s="2"/>
      <c r="G28" s="2"/>
      <c r="H28" s="2"/>
      <c r="I28" s="2"/>
      <c r="J28" s="2"/>
      <c r="K28" s="2"/>
      <c r="L28" s="2"/>
    </row>
    <row r="29">
      <c r="A29" s="2" t="s">
        <v>146</v>
      </c>
      <c r="B29" s="3">
        <v>0.85</v>
      </c>
      <c r="C29" s="2" t="s">
        <v>119</v>
      </c>
      <c r="D29" s="2" t="s">
        <v>149</v>
      </c>
      <c r="E29" s="2"/>
      <c r="F29" s="2"/>
      <c r="G29" s="2"/>
      <c r="H29" s="2"/>
      <c r="I29" s="2"/>
      <c r="J29" s="2"/>
      <c r="K29" s="2"/>
      <c r="L29" s="2"/>
    </row>
    <row r="30">
      <c r="A30" s="2" t="s">
        <v>150</v>
      </c>
      <c r="B30" s="3">
        <v>0.25</v>
      </c>
      <c r="C30" s="2" t="s">
        <v>151</v>
      </c>
      <c r="D30" s="2" t="s">
        <v>152</v>
      </c>
      <c r="E30" s="2"/>
      <c r="F30" s="2"/>
      <c r="G30" s="2"/>
      <c r="H30" s="2"/>
      <c r="I30" s="2"/>
      <c r="J30" s="2"/>
      <c r="K30" s="2"/>
      <c r="L30" s="2"/>
    </row>
    <row r="31">
      <c r="A31" s="2" t="s">
        <v>156</v>
      </c>
      <c r="B31" s="3">
        <v>600000.0</v>
      </c>
      <c r="C31" s="2" t="s">
        <v>133</v>
      </c>
      <c r="D31" s="2" t="s">
        <v>157</v>
      </c>
      <c r="E31" s="2"/>
      <c r="F31" s="2"/>
      <c r="G31" s="2"/>
      <c r="H31" s="2"/>
      <c r="I31" s="2"/>
      <c r="J31" s="2"/>
      <c r="K31" s="2"/>
      <c r="L31" s="2"/>
    </row>
    <row r="32">
      <c r="A32" s="2" t="s">
        <v>160</v>
      </c>
      <c r="B32" s="3">
        <v>0.1</v>
      </c>
      <c r="C32" s="2" t="s">
        <v>119</v>
      </c>
      <c r="D32" s="2" t="s">
        <v>162</v>
      </c>
      <c r="E32" s="2"/>
      <c r="F32" s="2"/>
      <c r="G32" s="2"/>
      <c r="H32" s="2"/>
      <c r="I32" s="2"/>
      <c r="J32" s="2"/>
      <c r="K32" s="2"/>
      <c r="L32" s="2"/>
    </row>
    <row r="33">
      <c r="A33" s="2" t="s">
        <v>163</v>
      </c>
      <c r="B33" s="3">
        <v>0.1</v>
      </c>
      <c r="C33" s="2" t="s">
        <v>119</v>
      </c>
      <c r="D33" s="2" t="s">
        <v>165</v>
      </c>
      <c r="E33" s="2"/>
      <c r="F33" s="2"/>
      <c r="G33" s="2"/>
      <c r="H33" s="2"/>
      <c r="I33" s="2"/>
      <c r="J33" s="2"/>
      <c r="K33" s="2"/>
      <c r="L33" s="2"/>
    </row>
    <row r="34">
      <c r="A34" s="2" t="s">
        <v>167</v>
      </c>
      <c r="B34" s="3">
        <v>0.6</v>
      </c>
      <c r="C34" s="2" t="s">
        <v>119</v>
      </c>
      <c r="D34" s="2" t="s">
        <v>168</v>
      </c>
      <c r="E34" s="2"/>
      <c r="F34" s="2"/>
      <c r="G34" s="2"/>
      <c r="H34" s="2"/>
      <c r="I34" s="2"/>
      <c r="J34" s="2"/>
      <c r="K34" s="2"/>
      <c r="L34" s="2"/>
    </row>
    <row r="35">
      <c r="A35" s="2" t="s">
        <v>171</v>
      </c>
      <c r="B35" s="3">
        <v>0.115</v>
      </c>
      <c r="C35" s="2" t="s">
        <v>91</v>
      </c>
      <c r="D35" s="2" t="s">
        <v>172</v>
      </c>
      <c r="E35" s="2"/>
      <c r="F35" s="2"/>
      <c r="G35" s="2"/>
      <c r="H35" s="2"/>
      <c r="I35" s="2"/>
      <c r="J35" s="2"/>
      <c r="K35" s="2"/>
      <c r="L35" s="2"/>
    </row>
    <row r="36">
      <c r="A36" s="2" t="s">
        <v>174</v>
      </c>
      <c r="B36" s="3">
        <v>1.3</v>
      </c>
      <c r="C36" s="2" t="s">
        <v>175</v>
      </c>
      <c r="D36" s="2" t="s">
        <v>176</v>
      </c>
      <c r="E36" s="2"/>
      <c r="F36" s="2"/>
      <c r="G36" s="2"/>
      <c r="H36" s="2"/>
      <c r="I36" s="2"/>
      <c r="J36" s="2"/>
      <c r="K36" s="2"/>
      <c r="L36" s="2"/>
    </row>
    <row r="37">
      <c r="A37" s="2" t="s">
        <v>178</v>
      </c>
      <c r="B37" s="3">
        <v>15.0</v>
      </c>
      <c r="C37" s="2" t="s">
        <v>179</v>
      </c>
      <c r="D37" s="2" t="s">
        <v>180</v>
      </c>
      <c r="E37" s="2"/>
      <c r="F37" s="2"/>
      <c r="G37" s="2"/>
      <c r="H37" s="2"/>
      <c r="I37" s="2"/>
      <c r="J37" s="2"/>
      <c r="K37" s="2"/>
      <c r="L37" s="2"/>
    </row>
    <row r="38">
      <c r="A38" s="2" t="s">
        <v>181</v>
      </c>
      <c r="B38" s="3">
        <v>0.015</v>
      </c>
      <c r="C38" s="2" t="s">
        <v>182</v>
      </c>
      <c r="D38" s="2" t="s">
        <v>183</v>
      </c>
      <c r="E38" s="2"/>
      <c r="F38" s="2"/>
      <c r="G38" s="2"/>
      <c r="H38" s="2"/>
      <c r="I38" s="2"/>
      <c r="J38" s="2"/>
      <c r="K38" s="2"/>
      <c r="L38" s="2"/>
    </row>
    <row r="39">
      <c r="A39" s="2" t="s">
        <v>184</v>
      </c>
      <c r="B39" s="3">
        <v>12.0</v>
      </c>
      <c r="C39" s="2" t="s">
        <v>103</v>
      </c>
      <c r="D39" s="2" t="s">
        <v>186</v>
      </c>
      <c r="E39" s="2"/>
      <c r="F39" s="2"/>
      <c r="G39" s="2"/>
      <c r="H39" s="2"/>
      <c r="I39" s="2"/>
      <c r="J39" s="2"/>
      <c r="K39" s="2"/>
      <c r="L39" s="2"/>
    </row>
    <row r="40">
      <c r="A40" s="2" t="s">
        <v>187</v>
      </c>
      <c r="B40" s="3">
        <v>2.0E7</v>
      </c>
      <c r="C40" s="2" t="s">
        <v>56</v>
      </c>
      <c r="D40" s="2" t="s">
        <v>188</v>
      </c>
      <c r="E40" s="2"/>
      <c r="F40" s="2"/>
      <c r="G40" s="2"/>
      <c r="H40" s="2"/>
      <c r="I40" s="2"/>
      <c r="J40" s="2"/>
      <c r="K40" s="2"/>
      <c r="L40" s="2"/>
    </row>
    <row r="41">
      <c r="A41" s="2" t="s">
        <v>145</v>
      </c>
      <c r="B41" s="3">
        <v>0.15</v>
      </c>
      <c r="C41" s="2" t="s">
        <v>119</v>
      </c>
      <c r="D41" s="2" t="s">
        <v>189</v>
      </c>
      <c r="E41" s="2"/>
      <c r="F41" s="2"/>
      <c r="G41" s="2"/>
      <c r="H41" s="2"/>
      <c r="I41" s="2"/>
      <c r="J41" s="2"/>
      <c r="K41" s="2"/>
      <c r="L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88"/>
    <col customWidth="1" min="2" max="2" width="27.63"/>
    <col customWidth="1" min="3" max="5" width="31.38"/>
  </cols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  <c r="F1" s="1"/>
      <c r="G1" s="1"/>
      <c r="H1" s="1"/>
      <c r="I1" s="1"/>
      <c r="J1" s="1"/>
      <c r="K1" s="1"/>
      <c r="L1" s="1"/>
    </row>
    <row r="2">
      <c r="A2" s="2" t="s">
        <v>8</v>
      </c>
      <c r="B2" s="2">
        <f>Inputs!B2</f>
        <v>40</v>
      </c>
      <c r="C2" s="2">
        <f>B2*Inputs!B3</f>
        <v>2400</v>
      </c>
      <c r="D2" s="2">
        <f t="shared" ref="D2:D3" si="1">C2/2</f>
        <v>1200</v>
      </c>
      <c r="E2" s="2" t="s">
        <v>25</v>
      </c>
      <c r="F2" s="2"/>
      <c r="G2" s="2"/>
      <c r="H2" s="2"/>
      <c r="I2" s="2"/>
      <c r="J2" s="2"/>
      <c r="K2" s="2"/>
      <c r="L2" s="2"/>
    </row>
    <row r="3">
      <c r="A3" s="2" t="s">
        <v>29</v>
      </c>
      <c r="B3" s="2">
        <f>Inputs!B4</f>
        <v>1000</v>
      </c>
      <c r="C3" s="2">
        <f>B3*Inputs!B5</f>
        <v>1200</v>
      </c>
      <c r="D3" s="2">
        <f t="shared" si="1"/>
        <v>600</v>
      </c>
      <c r="E3" s="2" t="s">
        <v>36</v>
      </c>
      <c r="F3" s="2"/>
      <c r="G3" s="2"/>
      <c r="H3" s="2"/>
      <c r="I3" s="2"/>
      <c r="J3" s="2"/>
      <c r="K3" s="2"/>
      <c r="L3" s="2"/>
    </row>
    <row r="4">
      <c r="A4" s="2" t="s">
        <v>41</v>
      </c>
      <c r="B4" s="2" t="s">
        <v>42</v>
      </c>
      <c r="C4" s="2">
        <f t="shared" ref="C4:D4" si="2">SUM(C2:C3)</f>
        <v>3600</v>
      </c>
      <c r="D4" s="2">
        <f t="shared" si="2"/>
        <v>1800</v>
      </c>
      <c r="E4" s="2" t="s">
        <v>49</v>
      </c>
      <c r="F4" s="2"/>
      <c r="G4" s="2"/>
      <c r="H4" s="2"/>
      <c r="I4" s="2"/>
      <c r="J4" s="2"/>
      <c r="K4" s="2"/>
      <c r="L4" s="2"/>
    </row>
    <row r="5">
      <c r="A5" s="2" t="s">
        <v>51</v>
      </c>
      <c r="B5" s="2">
        <f>Inputs!B8</f>
        <v>120</v>
      </c>
      <c r="C5" s="2">
        <v>0.0</v>
      </c>
      <c r="D5" s="2">
        <f>B5*Inputs!B9</f>
        <v>3600</v>
      </c>
      <c r="E5" s="2" t="s">
        <v>59</v>
      </c>
      <c r="F5" s="2"/>
      <c r="G5" s="2"/>
      <c r="H5" s="2"/>
      <c r="I5" s="2"/>
      <c r="J5" s="2"/>
      <c r="K5" s="2"/>
      <c r="L5" s="2"/>
    </row>
    <row r="6">
      <c r="A6" s="2" t="s">
        <v>61</v>
      </c>
      <c r="B6" s="2">
        <v>53106.0</v>
      </c>
      <c r="C6" s="2">
        <v>0.0</v>
      </c>
      <c r="D6" s="2">
        <v>0.0</v>
      </c>
      <c r="E6" s="2" t="s">
        <v>64</v>
      </c>
      <c r="F6" s="2"/>
      <c r="G6" s="2"/>
      <c r="H6" s="2"/>
      <c r="I6" s="2"/>
      <c r="J6" s="2"/>
      <c r="K6" s="2"/>
      <c r="L6" s="2"/>
    </row>
    <row r="7">
      <c r="A7" s="2" t="s">
        <v>66</v>
      </c>
      <c r="B7" s="2">
        <v>34576.0</v>
      </c>
      <c r="C7" s="2">
        <v>0.0</v>
      </c>
      <c r="D7" s="2">
        <v>0.0</v>
      </c>
      <c r="E7" s="2" t="s">
        <v>68</v>
      </c>
      <c r="F7" s="2"/>
      <c r="G7" s="2"/>
      <c r="H7" s="2"/>
      <c r="I7" s="2"/>
      <c r="J7" s="2"/>
      <c r="K7" s="2"/>
      <c r="L7" s="2"/>
    </row>
    <row r="8">
      <c r="A8" s="2" t="s">
        <v>70</v>
      </c>
      <c r="B8" s="2">
        <v>21208.0</v>
      </c>
      <c r="C8" s="2">
        <v>0.0</v>
      </c>
      <c r="D8" s="2">
        <v>0.0</v>
      </c>
      <c r="E8" s="2" t="s">
        <v>74</v>
      </c>
      <c r="F8" s="2"/>
      <c r="G8" s="2"/>
      <c r="H8" s="2"/>
      <c r="I8" s="2"/>
      <c r="J8" s="2"/>
      <c r="K8" s="2"/>
      <c r="L8" s="2"/>
    </row>
    <row r="9">
      <c r="A9" s="2" t="s">
        <v>78</v>
      </c>
      <c r="B9" s="2">
        <f>SUM(B6:B8)/10000</f>
        <v>10.889</v>
      </c>
      <c r="C9" s="2">
        <v>0.0</v>
      </c>
      <c r="D9" s="2">
        <v>0.0</v>
      </c>
      <c r="E9" s="2" t="s">
        <v>86</v>
      </c>
      <c r="F9" s="2"/>
      <c r="G9" s="2"/>
      <c r="H9" s="2"/>
      <c r="I9" s="2"/>
      <c r="J9" s="2"/>
      <c r="K9" s="2"/>
      <c r="L9" s="2"/>
    </row>
    <row r="10">
      <c r="A10" s="2" t="s">
        <v>89</v>
      </c>
      <c r="B10" s="2">
        <f t="shared" ref="B10:B11" si="3">B7*0.8</f>
        <v>27660.8</v>
      </c>
      <c r="C10" s="2">
        <v>0.0</v>
      </c>
      <c r="D10" s="2">
        <v>0.0</v>
      </c>
      <c r="E10" s="2" t="s">
        <v>96</v>
      </c>
      <c r="F10" s="2"/>
      <c r="G10" s="2"/>
      <c r="H10" s="2"/>
      <c r="I10" s="2"/>
      <c r="J10" s="2"/>
      <c r="K10" s="2"/>
      <c r="L10" s="2"/>
    </row>
    <row r="11">
      <c r="A11" s="2" t="s">
        <v>101</v>
      </c>
      <c r="B11" s="2">
        <f t="shared" si="3"/>
        <v>16966.4</v>
      </c>
      <c r="C11" s="2">
        <v>0.0</v>
      </c>
      <c r="D11" s="2">
        <v>0.0</v>
      </c>
      <c r="E11" s="2" t="s">
        <v>106</v>
      </c>
      <c r="F11" s="2"/>
      <c r="G11" s="2"/>
      <c r="H11" s="2"/>
      <c r="I11" s="2"/>
      <c r="J11" s="2"/>
      <c r="K11" s="2"/>
      <c r="L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88"/>
    <col customWidth="1" min="2" max="2" width="27.63"/>
    <col customWidth="1" min="3" max="3" width="31.38"/>
  </cols>
  <sheetData>
    <row r="1">
      <c r="A1" s="1" t="s">
        <v>3</v>
      </c>
      <c r="B1" s="1" t="s">
        <v>16</v>
      </c>
      <c r="C1" s="1" t="s">
        <v>19</v>
      </c>
      <c r="D1" s="1"/>
      <c r="E1" s="1"/>
      <c r="F1" s="1"/>
      <c r="G1" s="1"/>
      <c r="H1" s="1"/>
      <c r="I1" s="1"/>
      <c r="J1" s="1"/>
      <c r="K1" s="1"/>
      <c r="L1" s="1"/>
    </row>
    <row r="2">
      <c r="A2" s="2" t="s">
        <v>8</v>
      </c>
      <c r="B2" s="4">
        <f>Inputs!B2*Inputs!B6</f>
        <v>72000000</v>
      </c>
      <c r="C2" s="2" t="s">
        <v>44</v>
      </c>
      <c r="D2" s="2"/>
      <c r="E2" s="2"/>
      <c r="F2" s="2"/>
      <c r="G2" s="2"/>
      <c r="H2" s="2"/>
      <c r="I2" s="2"/>
      <c r="J2" s="2"/>
      <c r="K2" s="2"/>
      <c r="L2" s="2"/>
    </row>
    <row r="3">
      <c r="A3" s="2" t="s">
        <v>29</v>
      </c>
      <c r="B3" s="4">
        <f>Areas!C3*Inputs!B7</f>
        <v>16800000</v>
      </c>
      <c r="C3" s="2" t="s">
        <v>62</v>
      </c>
      <c r="D3" s="2"/>
      <c r="E3" s="2"/>
      <c r="F3" s="2"/>
      <c r="G3" s="2"/>
      <c r="H3" s="2"/>
      <c r="I3" s="2"/>
      <c r="J3" s="2"/>
      <c r="K3" s="2"/>
      <c r="L3" s="2"/>
    </row>
    <row r="4">
      <c r="A4" s="2" t="s">
        <v>51</v>
      </c>
      <c r="B4" s="4">
        <f>Areas!D5*Inputs!B10</f>
        <v>3600000</v>
      </c>
      <c r="C4" s="2" t="s">
        <v>71</v>
      </c>
      <c r="D4" s="2"/>
      <c r="E4" s="2"/>
      <c r="F4" s="2"/>
      <c r="G4" s="2"/>
      <c r="H4" s="2"/>
      <c r="I4" s="2"/>
      <c r="J4" s="2"/>
      <c r="K4" s="2"/>
      <c r="L4" s="2"/>
    </row>
    <row r="5">
      <c r="A5" s="2" t="s">
        <v>75</v>
      </c>
      <c r="B5" s="4">
        <f>Inputs!B11</f>
        <v>8000000</v>
      </c>
      <c r="C5" s="2" t="s">
        <v>81</v>
      </c>
      <c r="D5" s="2"/>
      <c r="E5" s="2"/>
      <c r="F5" s="2"/>
      <c r="G5" s="2"/>
      <c r="H5" s="2"/>
      <c r="I5" s="2"/>
      <c r="J5" s="2"/>
      <c r="K5" s="2"/>
      <c r="L5" s="2"/>
    </row>
    <row r="6">
      <c r="A6" s="2" t="s">
        <v>83</v>
      </c>
      <c r="B6" s="4">
        <f>Inputs!B12</f>
        <v>4000000</v>
      </c>
      <c r="C6" s="2" t="s">
        <v>93</v>
      </c>
      <c r="D6" s="2"/>
      <c r="E6" s="2"/>
      <c r="F6" s="2"/>
      <c r="G6" s="2"/>
      <c r="H6" s="2"/>
      <c r="I6" s="2"/>
      <c r="J6" s="2"/>
      <c r="K6" s="2"/>
      <c r="L6" s="2"/>
    </row>
    <row r="7">
      <c r="A7" s="2" t="s">
        <v>65</v>
      </c>
      <c r="B7" s="4">
        <f>Inputs!B13</f>
        <v>2000000</v>
      </c>
      <c r="C7" s="2" t="s">
        <v>99</v>
      </c>
      <c r="D7" s="2"/>
      <c r="E7" s="2"/>
      <c r="F7" s="2"/>
      <c r="G7" s="2"/>
      <c r="H7" s="2"/>
      <c r="I7" s="2"/>
      <c r="J7" s="2"/>
      <c r="K7" s="2"/>
      <c r="L7" s="2"/>
    </row>
    <row r="8">
      <c r="A8" s="2" t="s">
        <v>105</v>
      </c>
      <c r="B8" s="4">
        <f>SUM(B2:B7)</f>
        <v>106400000</v>
      </c>
      <c r="C8" s="2" t="s">
        <v>116</v>
      </c>
      <c r="D8" s="2"/>
      <c r="E8" s="2"/>
      <c r="F8" s="2"/>
      <c r="G8" s="2"/>
      <c r="H8" s="2"/>
      <c r="I8" s="2"/>
      <c r="J8" s="2"/>
      <c r="K8" s="2"/>
      <c r="L8" s="2"/>
    </row>
    <row r="9">
      <c r="A9" s="2" t="s">
        <v>69</v>
      </c>
      <c r="B9" s="4">
        <f>B8*Inputs!B14</f>
        <v>10640000</v>
      </c>
      <c r="C9" s="2" t="s">
        <v>129</v>
      </c>
      <c r="D9" s="2"/>
      <c r="E9" s="2"/>
      <c r="F9" s="2"/>
      <c r="G9" s="2"/>
      <c r="H9" s="2"/>
      <c r="I9" s="2"/>
      <c r="J9" s="2"/>
      <c r="K9" s="2"/>
      <c r="L9" s="2"/>
    </row>
    <row r="10">
      <c r="A10" s="2" t="s">
        <v>77</v>
      </c>
      <c r="B10" s="4">
        <f>(B8+B9)*Inputs!B15</f>
        <v>17556000</v>
      </c>
      <c r="C10" s="2" t="s">
        <v>144</v>
      </c>
      <c r="D10" s="2"/>
      <c r="E10" s="2"/>
      <c r="F10" s="2"/>
      <c r="G10" s="2"/>
      <c r="H10" s="2"/>
      <c r="I10" s="2"/>
      <c r="J10" s="2"/>
      <c r="K10" s="2"/>
      <c r="L10" s="2"/>
    </row>
    <row r="11">
      <c r="A11" s="2" t="s">
        <v>148</v>
      </c>
      <c r="B11" s="4">
        <f>SUM(B8:B10)</f>
        <v>134596000</v>
      </c>
      <c r="C11" s="2" t="s">
        <v>155</v>
      </c>
      <c r="D11" s="2"/>
      <c r="E11" s="2"/>
      <c r="F11" s="2"/>
      <c r="G11" s="2"/>
      <c r="H11" s="2"/>
      <c r="I11" s="2"/>
      <c r="J11" s="2"/>
      <c r="K11" s="2"/>
      <c r="L11" s="2"/>
    </row>
    <row r="12">
      <c r="A12" s="2" t="s">
        <v>159</v>
      </c>
      <c r="B12" s="6">
        <f>(1+Inputs!B18)^((Inputs!B19+Inputs!B20/2)/12)-1</f>
        <v>0.1737919574</v>
      </c>
      <c r="C12" s="2" t="s">
        <v>173</v>
      </c>
      <c r="D12" s="2"/>
      <c r="E12" s="2"/>
      <c r="F12" s="2"/>
      <c r="G12" s="2"/>
      <c r="H12" s="2"/>
      <c r="I12" s="2"/>
      <c r="J12" s="2"/>
      <c r="K12" s="2"/>
      <c r="L12" s="2"/>
    </row>
    <row r="13">
      <c r="A13" s="2" t="s">
        <v>177</v>
      </c>
      <c r="B13" s="4">
        <f>B11*(1+B12)</f>
        <v>157987702.3</v>
      </c>
      <c r="C13" s="2" t="s">
        <v>185</v>
      </c>
      <c r="D13" s="2"/>
      <c r="E13" s="2"/>
      <c r="F13" s="2"/>
      <c r="G13" s="2"/>
      <c r="H13" s="2"/>
      <c r="I13" s="2"/>
      <c r="J13" s="2"/>
      <c r="K13" s="2"/>
      <c r="L13" s="2"/>
    </row>
    <row r="14">
      <c r="A14" s="2" t="s">
        <v>82</v>
      </c>
      <c r="B14" s="4">
        <f>Inputs!B16</f>
        <v>1500000</v>
      </c>
      <c r="C14" s="2" t="s">
        <v>190</v>
      </c>
      <c r="D14" s="2"/>
      <c r="E14" s="2"/>
      <c r="F14" s="2"/>
      <c r="G14" s="2"/>
      <c r="H14" s="2"/>
      <c r="I14" s="2"/>
      <c r="J14" s="2"/>
      <c r="K14" s="2"/>
      <c r="L14" s="2"/>
    </row>
    <row r="15">
      <c r="A15" s="2" t="s">
        <v>191</v>
      </c>
      <c r="B15" s="4">
        <f>Inputs!B17</f>
        <v>2000000</v>
      </c>
      <c r="C15" s="2" t="s">
        <v>192</v>
      </c>
      <c r="D15" s="2"/>
      <c r="E15" s="2"/>
      <c r="F15" s="2"/>
      <c r="G15" s="2"/>
      <c r="H15" s="2"/>
      <c r="I15" s="2"/>
      <c r="J15" s="2"/>
      <c r="K15" s="2"/>
      <c r="L15" s="2"/>
    </row>
    <row r="16">
      <c r="A16" s="2" t="s">
        <v>193</v>
      </c>
      <c r="B16" s="4">
        <f>(Inputs!B19+Inputs!B20)*Inputs!B21</f>
        <v>2100000</v>
      </c>
      <c r="C16" s="2" t="s">
        <v>194</v>
      </c>
      <c r="D16" s="2"/>
      <c r="E16" s="2"/>
      <c r="F16" s="2"/>
      <c r="G16" s="2"/>
      <c r="H16" s="2"/>
      <c r="I16" s="2"/>
      <c r="J16" s="2"/>
      <c r="K16" s="2"/>
      <c r="L16" s="2"/>
    </row>
    <row r="17">
      <c r="A17" s="2" t="s">
        <v>195</v>
      </c>
      <c r="B17" s="4">
        <f>SUM(B13:B16)</f>
        <v>163587702.3</v>
      </c>
      <c r="C17" s="2" t="s">
        <v>196</v>
      </c>
      <c r="D17" s="2"/>
      <c r="E17" s="2"/>
      <c r="F17" s="2"/>
      <c r="G17" s="2"/>
      <c r="H17" s="2"/>
      <c r="I17" s="2"/>
      <c r="J17" s="2"/>
      <c r="K17" s="2"/>
      <c r="L17" s="2"/>
    </row>
    <row r="18">
      <c r="A18" s="2" t="s">
        <v>197</v>
      </c>
      <c r="B18" s="4">
        <f>B17*Inputs!B34</f>
        <v>98152621.38</v>
      </c>
      <c r="C18" s="2" t="s">
        <v>198</v>
      </c>
      <c r="D18" s="2"/>
      <c r="E18" s="2"/>
      <c r="F18" s="2"/>
      <c r="G18" s="2"/>
      <c r="H18" s="2"/>
      <c r="I18" s="2"/>
      <c r="J18" s="2"/>
      <c r="K18" s="2"/>
      <c r="L18" s="2"/>
    </row>
    <row r="19">
      <c r="A19" s="2" t="s">
        <v>199</v>
      </c>
      <c r="B19" s="4">
        <f>B18*0.5*Inputs!B35*Inputs!B20/12</f>
        <v>8465663.594</v>
      </c>
      <c r="C19" s="2" t="s">
        <v>200</v>
      </c>
      <c r="D19" s="2"/>
      <c r="E19" s="2"/>
      <c r="F19" s="2"/>
      <c r="G19" s="2"/>
      <c r="H19" s="2"/>
      <c r="I19" s="2"/>
      <c r="J19" s="2"/>
      <c r="K19" s="2"/>
      <c r="L19" s="2"/>
    </row>
    <row r="20">
      <c r="A20" s="2" t="s">
        <v>201</v>
      </c>
      <c r="B20" s="4">
        <f>B18*Inputs!B38</f>
        <v>1472289.321</v>
      </c>
      <c r="C20" s="2" t="s">
        <v>202</v>
      </c>
      <c r="D20" s="2"/>
      <c r="E20" s="2"/>
      <c r="F20" s="2"/>
      <c r="G20" s="2"/>
      <c r="H20" s="2"/>
      <c r="I20" s="2"/>
      <c r="J20" s="2"/>
      <c r="K20" s="2"/>
      <c r="L20" s="2"/>
    </row>
    <row r="21">
      <c r="A21" s="2" t="s">
        <v>203</v>
      </c>
      <c r="B21" s="4">
        <f>B17+B19+B20</f>
        <v>173525655.2</v>
      </c>
      <c r="C21" s="2" t="s">
        <v>204</v>
      </c>
      <c r="D21" s="2"/>
      <c r="E21" s="2"/>
      <c r="F21" s="2"/>
      <c r="G21" s="2"/>
      <c r="H21" s="2"/>
      <c r="I21" s="2"/>
      <c r="J21" s="2"/>
      <c r="K21" s="2"/>
      <c r="L21" s="2"/>
    </row>
    <row r="22">
      <c r="A22" s="2" t="s">
        <v>205</v>
      </c>
      <c r="B22" s="4">
        <f>Inputs!B40</f>
        <v>20000000</v>
      </c>
      <c r="C22" s="2" t="s">
        <v>206</v>
      </c>
      <c r="D22" s="2"/>
      <c r="E22" s="2"/>
      <c r="F22" s="2"/>
      <c r="G22" s="2"/>
      <c r="H22" s="2"/>
      <c r="I22" s="2"/>
      <c r="J22" s="2"/>
      <c r="K22" s="2"/>
      <c r="L22" s="2"/>
    </row>
    <row r="23">
      <c r="A23" s="2" t="s">
        <v>207</v>
      </c>
      <c r="B23" s="4">
        <f>B21+B22</f>
        <v>193525655.2</v>
      </c>
      <c r="C23" s="2" t="s">
        <v>208</v>
      </c>
      <c r="D23" s="2"/>
      <c r="E23" s="2"/>
      <c r="F23" s="2"/>
      <c r="G23" s="2"/>
      <c r="H23" s="2"/>
      <c r="I23" s="2"/>
      <c r="J23" s="2"/>
      <c r="K23" s="2"/>
      <c r="L23" s="2"/>
    </row>
    <row r="24">
      <c r="A24" s="2" t="s">
        <v>209</v>
      </c>
      <c r="B24" s="4">
        <f>(B13+B14+B15)*Inputs!B41</f>
        <v>24223155.34</v>
      </c>
      <c r="C24" s="2" t="s">
        <v>210</v>
      </c>
      <c r="D24" s="2"/>
      <c r="E24" s="2"/>
      <c r="F24" s="2"/>
      <c r="G24" s="2"/>
      <c r="H24" s="2"/>
      <c r="I24" s="2"/>
      <c r="J24" s="2"/>
      <c r="K24" s="2"/>
      <c r="L24" s="2"/>
    </row>
    <row r="25">
      <c r="A25" s="2" t="s">
        <v>211</v>
      </c>
      <c r="B25" s="4">
        <f>B17+B22</f>
        <v>183587702.3</v>
      </c>
      <c r="C25" s="2" t="s">
        <v>212</v>
      </c>
      <c r="D25" s="2"/>
      <c r="E25" s="2"/>
      <c r="F25" s="2"/>
      <c r="G25" s="2"/>
      <c r="H25" s="2"/>
      <c r="I25" s="2"/>
      <c r="J25" s="2"/>
      <c r="K25" s="2"/>
      <c r="L25" s="2"/>
    </row>
    <row r="26">
      <c r="A26" s="2" t="s">
        <v>213</v>
      </c>
      <c r="B26" s="4">
        <f>Areas!C4</f>
        <v>3600</v>
      </c>
      <c r="C26" s="2" t="s">
        <v>214</v>
      </c>
      <c r="D26" s="2"/>
      <c r="E26" s="2"/>
      <c r="F26" s="2"/>
      <c r="G26" s="2"/>
      <c r="H26" s="2"/>
      <c r="I26" s="2"/>
      <c r="J26" s="2"/>
      <c r="K26" s="2"/>
      <c r="L26" s="2"/>
    </row>
    <row r="27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A34" s="2"/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A35" s="2"/>
      <c r="B35" s="4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A56" s="2"/>
      <c r="B56" s="4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A57" s="2"/>
      <c r="B57" s="4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A58" s="2"/>
      <c r="B58" s="4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A61" s="2"/>
      <c r="B61" s="4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A101" s="2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A102" s="2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A103" s="2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A104" s="2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A105" s="2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A107" s="2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A108" s="2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A110" s="2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A111" s="2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A112" s="2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A113" s="2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A114" s="2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A115" s="2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A116" s="2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A117" s="2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A118" s="2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A119" s="2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A120" s="2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A121" s="2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A122" s="2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A123" s="2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A124" s="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A125" s="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A126" s="2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A127" s="2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A128" s="2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A129" s="2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A130" s="2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A131" s="2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A132" s="2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A133" s="2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A134" s="2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A135" s="2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A136" s="2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A138" s="2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A139" s="2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A140" s="2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A141" s="2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A142" s="2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A143" s="2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A144" s="2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A145" s="2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A146" s="2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A148" s="2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A149" s="2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A150" s="2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A151" s="2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A152" s="2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A154" s="2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A155" s="2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88"/>
    <col customWidth="1" min="2" max="2" width="27.63"/>
    <col customWidth="1" min="3" max="3" width="31.38"/>
  </cols>
  <sheetData>
    <row r="1">
      <c r="A1" s="1" t="s">
        <v>215</v>
      </c>
      <c r="B1" s="1" t="s">
        <v>216</v>
      </c>
      <c r="C1" s="1" t="s">
        <v>217</v>
      </c>
      <c r="D1" s="1"/>
      <c r="E1" s="1"/>
      <c r="F1" s="1"/>
      <c r="G1" s="1"/>
      <c r="H1" s="1"/>
      <c r="I1" s="1"/>
      <c r="J1" s="1"/>
      <c r="K1" s="1"/>
      <c r="L1" s="1"/>
    </row>
    <row r="2">
      <c r="A2" s="2" t="s">
        <v>218</v>
      </c>
      <c r="B2" s="4">
        <f>Inputs!B2*365*Inputs!B22*Inputs!B23</f>
        <v>9855000</v>
      </c>
      <c r="C2" s="2" t="s">
        <v>222</v>
      </c>
      <c r="D2" s="2"/>
      <c r="E2" s="2"/>
      <c r="F2" s="2"/>
      <c r="G2" s="2"/>
      <c r="H2" s="2"/>
      <c r="I2" s="2"/>
      <c r="J2" s="2"/>
      <c r="K2" s="2"/>
      <c r="L2" s="2"/>
    </row>
    <row r="3">
      <c r="A3" s="2" t="s">
        <v>223</v>
      </c>
      <c r="B3" s="4">
        <f>B2*Inputs!B24</f>
        <v>1971000</v>
      </c>
      <c r="C3" s="2" t="s">
        <v>224</v>
      </c>
      <c r="D3" s="2"/>
      <c r="E3" s="2"/>
      <c r="F3" s="2"/>
      <c r="G3" s="2"/>
      <c r="H3" s="2"/>
      <c r="I3" s="2"/>
      <c r="J3" s="2"/>
      <c r="K3" s="2"/>
      <c r="L3" s="2"/>
    </row>
    <row r="4">
      <c r="A4" s="2" t="s">
        <v>225</v>
      </c>
      <c r="B4" s="4">
        <f>SUM(B2:B3)</f>
        <v>11826000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 t="s">
        <v>228</v>
      </c>
      <c r="B5" s="4">
        <f>B4*Inputs!B25</f>
        <v>4139100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 t="s">
        <v>229</v>
      </c>
      <c r="B6" s="4">
        <f>Inputs!B26</f>
        <v>4000000</v>
      </c>
      <c r="C6" s="2" t="s">
        <v>231</v>
      </c>
      <c r="D6" s="2"/>
      <c r="E6" s="2"/>
      <c r="F6" s="2"/>
      <c r="G6" s="2"/>
      <c r="H6" s="2"/>
      <c r="I6" s="2"/>
      <c r="J6" s="2"/>
      <c r="K6" s="2"/>
      <c r="L6" s="2"/>
    </row>
    <row r="7">
      <c r="A7" s="2" t="s">
        <v>137</v>
      </c>
      <c r="B7" s="4">
        <f>B4*Inputs!B27</f>
        <v>473040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>
      <c r="A8" s="2" t="s">
        <v>233</v>
      </c>
      <c r="B8" s="4">
        <f>B4-B5-B6-B7</f>
        <v>3213860</v>
      </c>
      <c r="C8" s="2" t="s">
        <v>236</v>
      </c>
      <c r="D8" s="2"/>
      <c r="E8" s="2"/>
      <c r="F8" s="2"/>
      <c r="G8" s="2"/>
      <c r="H8" s="2"/>
      <c r="I8" s="2"/>
      <c r="J8" s="2"/>
      <c r="K8" s="2"/>
      <c r="L8" s="2"/>
    </row>
    <row r="9">
      <c r="A9" s="2" t="s">
        <v>237</v>
      </c>
      <c r="B9" s="4">
        <f>Inputs!B4*Inputs!B28*12</f>
        <v>1200000</v>
      </c>
      <c r="C9" s="2" t="s">
        <v>240</v>
      </c>
      <c r="D9" s="2"/>
      <c r="E9" s="2"/>
      <c r="F9" s="2"/>
      <c r="G9" s="2"/>
      <c r="H9" s="2"/>
      <c r="I9" s="2"/>
      <c r="J9" s="2"/>
      <c r="K9" s="2"/>
      <c r="L9" s="2"/>
    </row>
    <row r="10">
      <c r="A10" s="2" t="s">
        <v>241</v>
      </c>
      <c r="B10" s="4">
        <f>B9*Inputs!B29</f>
        <v>1020000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>
      <c r="A11" s="2" t="s">
        <v>150</v>
      </c>
      <c r="B11" s="4">
        <f>B10*Inputs!B30</f>
        <v>255000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>
      <c r="A12" s="2" t="s">
        <v>244</v>
      </c>
      <c r="B12" s="4">
        <f>B10-B11</f>
        <v>765000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>
      <c r="A13" s="2" t="s">
        <v>248</v>
      </c>
      <c r="B13" s="4">
        <f>Inputs!B31</f>
        <v>600000</v>
      </c>
      <c r="C13" s="2" t="s">
        <v>253</v>
      </c>
      <c r="D13" s="2"/>
      <c r="E13" s="2"/>
      <c r="F13" s="2"/>
      <c r="G13" s="2"/>
      <c r="H13" s="2"/>
      <c r="I13" s="2"/>
      <c r="J13" s="2"/>
      <c r="K13" s="2"/>
      <c r="L13" s="2"/>
    </row>
    <row r="14">
      <c r="A14" s="2" t="s">
        <v>257</v>
      </c>
      <c r="B14" s="4">
        <f>B8+B12-B13</f>
        <v>3378860</v>
      </c>
      <c r="C14" s="2" t="s">
        <v>263</v>
      </c>
      <c r="D14" s="2"/>
      <c r="E14" s="2"/>
      <c r="F14" s="2"/>
      <c r="G14" s="2"/>
      <c r="H14" s="2"/>
      <c r="I14" s="2"/>
      <c r="J14" s="2"/>
      <c r="K14" s="2"/>
      <c r="L14" s="2"/>
    </row>
    <row r="15">
      <c r="A15" s="2" t="s">
        <v>264</v>
      </c>
      <c r="B15" s="6">
        <f>B14/Cost!B17</f>
        <v>0.02065473109</v>
      </c>
      <c r="C15" s="2" t="s">
        <v>265</v>
      </c>
      <c r="D15" s="2"/>
      <c r="E15" s="2"/>
      <c r="F15" s="2"/>
      <c r="G15" s="2"/>
      <c r="H15" s="2"/>
      <c r="I15" s="2"/>
      <c r="J15" s="2"/>
      <c r="K15" s="2"/>
      <c r="L15" s="2"/>
    </row>
    <row r="16">
      <c r="A16" s="2" t="s">
        <v>267</v>
      </c>
      <c r="B16" s="6">
        <f>B14/Cost!B25</f>
        <v>0.01840460966</v>
      </c>
      <c r="C16" s="2" t="s">
        <v>269</v>
      </c>
      <c r="D16" s="2"/>
      <c r="E16" s="2"/>
      <c r="F16" s="2"/>
      <c r="G16" s="2"/>
      <c r="H16" s="2"/>
      <c r="I16" s="2"/>
      <c r="J16" s="2"/>
      <c r="K16" s="2"/>
      <c r="L16" s="2"/>
    </row>
    <row r="17">
      <c r="A17" s="2" t="s">
        <v>270</v>
      </c>
      <c r="B17" s="6">
        <f>B14/Cost!B21</f>
        <v>0.01947181813</v>
      </c>
      <c r="C17" s="2" t="s">
        <v>271</v>
      </c>
      <c r="D17" s="2"/>
      <c r="E17" s="2"/>
      <c r="F17" s="2"/>
      <c r="G17" s="2"/>
      <c r="H17" s="2"/>
      <c r="I17" s="2"/>
      <c r="J17" s="2"/>
      <c r="K17" s="2"/>
      <c r="L17" s="2"/>
    </row>
    <row r="18">
      <c r="A18" s="2" t="s">
        <v>273</v>
      </c>
      <c r="B18" s="4">
        <f>MAX(0,B14)/Inputs!B33</f>
        <v>33788600</v>
      </c>
      <c r="C18" s="2" t="s">
        <v>276</v>
      </c>
      <c r="D18" s="2"/>
      <c r="E18" s="2"/>
      <c r="F18" s="2"/>
      <c r="G18" s="2"/>
      <c r="H18" s="2"/>
      <c r="I18" s="2"/>
      <c r="J18" s="2"/>
      <c r="K18" s="2"/>
      <c r="L18" s="2"/>
    </row>
    <row r="19">
      <c r="A19" s="2" t="s">
        <v>278</v>
      </c>
      <c r="B19" s="4">
        <f>B18-Cost!B21</f>
        <v>-139737055.2</v>
      </c>
      <c r="C19" s="2" t="s">
        <v>279</v>
      </c>
      <c r="D19" s="2"/>
      <c r="E19" s="2"/>
      <c r="F19" s="2"/>
      <c r="G19" s="2"/>
      <c r="H19" s="2"/>
      <c r="I19" s="2"/>
      <c r="J19" s="2"/>
      <c r="K19" s="2"/>
      <c r="L19" s="2"/>
    </row>
    <row r="20">
      <c r="A20" s="2" t="s">
        <v>280</v>
      </c>
      <c r="B20" s="4">
        <f>B14/Inputs!B32</f>
        <v>33788600</v>
      </c>
      <c r="C20" s="2" t="s">
        <v>281</v>
      </c>
      <c r="D20" s="2"/>
      <c r="E20" s="2"/>
      <c r="F20" s="2"/>
      <c r="G20" s="2"/>
      <c r="H20" s="2"/>
      <c r="I20" s="2"/>
      <c r="J20" s="2"/>
      <c r="K20" s="2"/>
      <c r="L20" s="2"/>
    </row>
    <row r="21">
      <c r="A21" s="2" t="s">
        <v>284</v>
      </c>
      <c r="B21" s="4">
        <f>Cost!B17*Inputs!B32</f>
        <v>16358770.23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>
      <c r="A22" s="2" t="s">
        <v>286</v>
      </c>
      <c r="B22" s="6">
        <f>(B21-B12+B13+Inputs!B26)/(Inputs!B2*365*Inputs!B22*(1+Inputs!B24 )*(1-Inputs!B25-Inputs!B27))</f>
        <v>1.259685744</v>
      </c>
      <c r="C22" s="2" t="s">
        <v>290</v>
      </c>
      <c r="D22" s="2"/>
      <c r="E22" s="2"/>
      <c r="F22" s="2"/>
      <c r="G22" s="2"/>
      <c r="H22" s="2"/>
      <c r="I22" s="2"/>
      <c r="J22" s="2"/>
      <c r="K22" s="2"/>
      <c r="L22" s="2"/>
    </row>
    <row r="23">
      <c r="A23" s="2" t="s">
        <v>291</v>
      </c>
      <c r="B23" s="6">
        <f>Inputs!B26/(Inputs!B2*365*Inputs!B22*(1+Inputs!B24 )*(1-Inputs!B25-Inputs!B27))</f>
        <v>0.2495196746</v>
      </c>
      <c r="C23" s="2" t="s">
        <v>293</v>
      </c>
      <c r="D23" s="2"/>
      <c r="E23" s="2"/>
      <c r="F23" s="2"/>
      <c r="G23" s="2"/>
      <c r="H23" s="2"/>
      <c r="I23" s="2"/>
      <c r="J23" s="2"/>
      <c r="K23" s="2"/>
      <c r="L23" s="2"/>
    </row>
    <row r="24">
      <c r="A24" s="2" t="s">
        <v>294</v>
      </c>
      <c r="B24" s="6">
        <f>Cost!B2/(Cost!B2+Cost!B3)</f>
        <v>0.8108108108</v>
      </c>
      <c r="C24" s="2" t="s">
        <v>295</v>
      </c>
      <c r="D24" s="2"/>
      <c r="E24" s="2"/>
      <c r="F24" s="2"/>
      <c r="G24" s="2"/>
      <c r="H24" s="2"/>
      <c r="I24" s="2"/>
      <c r="J24" s="2"/>
      <c r="K24" s="2"/>
      <c r="L24" s="2"/>
    </row>
    <row r="25">
      <c r="A25" s="2" t="s">
        <v>296</v>
      </c>
      <c r="B25" s="4">
        <f>Cost!B2*(1+Cost!B12)+(Cost!B17-(Cost!B2+Cost!B3)*(1+Cost!B12))*B24</f>
        <v>132638677.5</v>
      </c>
      <c r="C25" s="2" t="s">
        <v>297</v>
      </c>
      <c r="D25" s="2"/>
      <c r="E25" s="2"/>
      <c r="F25" s="2"/>
      <c r="G25" s="2"/>
      <c r="H25" s="2"/>
      <c r="I25" s="2"/>
      <c r="J25" s="2"/>
      <c r="K25" s="2"/>
      <c r="L25" s="2"/>
    </row>
    <row r="26">
      <c r="A26" s="2" t="s">
        <v>298</v>
      </c>
      <c r="B26" s="4">
        <f>Cost!B17-B25</f>
        <v>30949024.76</v>
      </c>
      <c r="C26" s="2" t="s">
        <v>299</v>
      </c>
      <c r="D26" s="2"/>
      <c r="E26" s="2"/>
      <c r="F26" s="2"/>
      <c r="G26" s="2"/>
      <c r="H26" s="2"/>
      <c r="I26" s="2"/>
      <c r="J26" s="2"/>
      <c r="K26" s="2"/>
      <c r="L26" s="2"/>
    </row>
    <row r="27">
      <c r="A27" s="2" t="s">
        <v>300</v>
      </c>
      <c r="B27" s="4">
        <f>B8-B13*B24</f>
        <v>2727373.514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A28" s="2" t="s">
        <v>301</v>
      </c>
      <c r="B28" s="4">
        <f>B12-B13*(1-B24)</f>
        <v>651486.4865</v>
      </c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A29" s="2" t="s">
        <v>302</v>
      </c>
      <c r="B29" s="6">
        <f t="shared" ref="B29:B30" si="1">B27/B25</f>
        <v>0.02056242993</v>
      </c>
      <c r="C29" s="2" t="s">
        <v>303</v>
      </c>
      <c r="D29" s="2"/>
      <c r="E29" s="2"/>
      <c r="F29" s="2"/>
      <c r="G29" s="2"/>
      <c r="H29" s="2"/>
      <c r="I29" s="2"/>
      <c r="J29" s="2"/>
      <c r="K29" s="2"/>
      <c r="L29" s="2"/>
    </row>
    <row r="30">
      <c r="A30" s="2" t="s">
        <v>304</v>
      </c>
      <c r="B30" s="6">
        <f t="shared" si="1"/>
        <v>0.02105030745</v>
      </c>
      <c r="C30" s="2" t="s">
        <v>303</v>
      </c>
      <c r="D30" s="2"/>
      <c r="E30" s="2"/>
      <c r="F30" s="2"/>
      <c r="G30" s="2"/>
      <c r="H30" s="2"/>
      <c r="I30" s="2"/>
      <c r="J30" s="2"/>
      <c r="K30" s="2"/>
      <c r="L30" s="2"/>
    </row>
    <row r="31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A34" s="2"/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A35" s="2"/>
      <c r="B35" s="4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A56" s="2"/>
      <c r="B56" s="4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A57" s="2"/>
      <c r="B57" s="4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A58" s="2"/>
      <c r="B58" s="4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A61" s="2"/>
      <c r="B61" s="4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A101" s="2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A102" s="2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A103" s="2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A104" s="2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A105" s="2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A107" s="2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A108" s="2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A110" s="2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A111" s="2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A112" s="2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A113" s="2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A114" s="2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A115" s="2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A116" s="2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A117" s="2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A118" s="2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A119" s="2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A120" s="2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A121" s="2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A122" s="2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A123" s="2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A124" s="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A125" s="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A126" s="2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A127" s="2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A128" s="2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A129" s="2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A130" s="2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A131" s="2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A132" s="2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A133" s="2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A134" s="2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A135" s="2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A136" s="2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A138" s="2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A139" s="2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A140" s="2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A141" s="2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A142" s="2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A143" s="2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A144" s="2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A145" s="2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A146" s="2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A148" s="2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A149" s="2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A150" s="2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A151" s="2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A152" s="2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A154" s="2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A155" s="2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88"/>
    <col customWidth="1" min="2" max="2" width="27.63"/>
    <col customWidth="1" min="3" max="3" width="31.38"/>
  </cols>
  <sheetData>
    <row r="1">
      <c r="A1" s="8" t="s">
        <v>219</v>
      </c>
      <c r="B1" s="8" t="s">
        <v>9</v>
      </c>
      <c r="C1" s="8" t="s">
        <v>220</v>
      </c>
      <c r="D1" s="1"/>
      <c r="E1" s="1"/>
      <c r="F1" s="1"/>
      <c r="G1" s="1"/>
      <c r="H1" s="1"/>
      <c r="I1" s="1"/>
      <c r="J1" s="1"/>
      <c r="K1" s="1"/>
      <c r="L1" s="1"/>
    </row>
    <row r="2">
      <c r="A2" s="9" t="s">
        <v>221</v>
      </c>
      <c r="B2" s="4">
        <f>Cost!B18</f>
        <v>98152621.38</v>
      </c>
      <c r="C2" s="9" t="s">
        <v>226</v>
      </c>
      <c r="D2" s="2"/>
      <c r="E2" s="2"/>
      <c r="F2" s="2"/>
      <c r="G2" s="2"/>
      <c r="H2" s="2"/>
      <c r="I2" s="2"/>
      <c r="J2" s="2"/>
      <c r="K2" s="2"/>
      <c r="L2" s="2"/>
    </row>
    <row r="3">
      <c r="A3" s="9" t="s">
        <v>227</v>
      </c>
      <c r="B3" s="4">
        <f>-PMT(Inputs!B35/12,Inputs!B37*12,B2)*12</f>
        <v>13759307.05</v>
      </c>
      <c r="C3" s="9" t="s">
        <v>230</v>
      </c>
      <c r="D3" s="2"/>
      <c r="E3" s="2"/>
      <c r="F3" s="2"/>
      <c r="G3" s="2"/>
      <c r="H3" s="2"/>
      <c r="I3" s="2"/>
      <c r="J3" s="2"/>
      <c r="K3" s="2"/>
      <c r="L3" s="2"/>
    </row>
    <row r="4">
      <c r="A4" s="9" t="s">
        <v>232</v>
      </c>
      <c r="B4" s="7">
        <f>Operations!B14/B3</f>
        <v>0.2455690528</v>
      </c>
      <c r="C4" s="9" t="s">
        <v>234</v>
      </c>
      <c r="D4" s="2"/>
      <c r="E4" s="2"/>
      <c r="F4" s="2"/>
      <c r="G4" s="2"/>
      <c r="H4" s="2"/>
      <c r="I4" s="2"/>
      <c r="J4" s="2"/>
      <c r="K4" s="2"/>
      <c r="L4" s="2"/>
    </row>
    <row r="5">
      <c r="A5" s="9" t="s">
        <v>235</v>
      </c>
      <c r="B5" s="4">
        <f>MAX(0,Operations!B14)/Inputs!B36</f>
        <v>2599123.077</v>
      </c>
      <c r="C5" s="9" t="s">
        <v>238</v>
      </c>
      <c r="D5" s="2"/>
      <c r="E5" s="2"/>
      <c r="F5" s="2"/>
      <c r="G5" s="2"/>
      <c r="H5" s="2"/>
      <c r="I5" s="2"/>
      <c r="J5" s="2"/>
      <c r="K5" s="2"/>
      <c r="L5" s="2"/>
    </row>
    <row r="6">
      <c r="A6" s="9" t="s">
        <v>239</v>
      </c>
      <c r="B6" s="4">
        <f>PV(Inputs!B35/12,Inputs!B37*12,-B5/12)</f>
        <v>18540958.66</v>
      </c>
      <c r="C6" s="9" t="s">
        <v>242</v>
      </c>
      <c r="D6" s="2"/>
      <c r="E6" s="2"/>
      <c r="F6" s="2"/>
      <c r="G6" s="2"/>
      <c r="H6" s="2"/>
      <c r="I6" s="2"/>
      <c r="J6" s="2"/>
      <c r="K6" s="2"/>
      <c r="L6" s="2"/>
    </row>
    <row r="7">
      <c r="A7" s="9" t="s">
        <v>243</v>
      </c>
      <c r="B7" s="4">
        <f>MAX(0,B2-B6)</f>
        <v>79611662.72</v>
      </c>
      <c r="C7" s="9" t="s">
        <v>245</v>
      </c>
      <c r="D7" s="2"/>
      <c r="E7" s="2"/>
      <c r="F7" s="2"/>
      <c r="G7" s="2"/>
      <c r="H7" s="2"/>
      <c r="I7" s="2"/>
      <c r="J7" s="2"/>
      <c r="K7" s="2"/>
      <c r="L7" s="2"/>
    </row>
    <row r="8">
      <c r="A8" s="9" t="s">
        <v>246</v>
      </c>
      <c r="B8" s="4">
        <f>Cost!B21-B2</f>
        <v>75373033.83</v>
      </c>
      <c r="C8" s="9" t="s">
        <v>254</v>
      </c>
      <c r="D8" s="2"/>
      <c r="E8" s="2"/>
      <c r="F8" s="2"/>
      <c r="G8" s="2"/>
      <c r="H8" s="2"/>
      <c r="I8" s="2"/>
      <c r="J8" s="2"/>
      <c r="K8" s="2"/>
      <c r="L8" s="2"/>
    </row>
    <row r="9">
      <c r="A9" s="9" t="s">
        <v>259</v>
      </c>
      <c r="B9" s="4">
        <f>Cost!B17+MIN(B2,B6)*(0.5*Inputs!B35*Inputs!B20/12+Inputs!B38)-MIN(B2,B6)</f>
        <v>146924015.7</v>
      </c>
      <c r="C9" s="9" t="s">
        <v>266</v>
      </c>
      <c r="D9" s="2"/>
      <c r="E9" s="2"/>
      <c r="F9" s="2"/>
      <c r="G9" s="2"/>
      <c r="H9" s="2"/>
      <c r="I9" s="2"/>
      <c r="J9" s="2"/>
      <c r="K9" s="2"/>
      <c r="L9" s="2"/>
    </row>
    <row r="10">
      <c r="A10" s="9" t="s">
        <v>268</v>
      </c>
      <c r="B10" s="4">
        <f>MAX(0,-SUMIFS(Cashflow!H3:H80,Cashflow!A3:A80,"&gt;"&amp;(Inputs!B19+Inputs!B20 ),Cashflow!A3:A80,"&lt;="&amp;(Inputs!B19+Inputs!B20+12))+B3)</f>
        <v>12208935.8</v>
      </c>
      <c r="C10" s="9" t="s">
        <v>272</v>
      </c>
      <c r="D10" s="2"/>
      <c r="E10" s="2"/>
      <c r="F10" s="2"/>
      <c r="G10" s="2"/>
      <c r="H10" s="2"/>
      <c r="I10" s="2"/>
      <c r="J10" s="2"/>
      <c r="K10" s="2"/>
      <c r="L10" s="2"/>
    </row>
    <row r="11">
      <c r="A11" s="9" t="s">
        <v>274</v>
      </c>
      <c r="B11" s="4">
        <f>B9+B15+Cost!B24</f>
        <v>172195922.9</v>
      </c>
      <c r="C11" s="9" t="s">
        <v>275</v>
      </c>
      <c r="D11" s="2"/>
      <c r="E11" s="2"/>
      <c r="F11" s="2"/>
      <c r="G11" s="2"/>
      <c r="H11" s="2"/>
      <c r="I11" s="2"/>
      <c r="J11" s="2"/>
      <c r="K11" s="2"/>
      <c r="L11" s="2"/>
    </row>
    <row r="12">
      <c r="A12" s="9" t="s">
        <v>277</v>
      </c>
      <c r="B12" s="4">
        <f>Cost!B17+MAX(0,-SUMIFS(Cashflow!H3:H80,Cashflow!A3:A80,"&gt;"&amp;(Inputs!B19+Inputs!B20 ),Cashflow!A3:A80,"&lt;="&amp;(Inputs!B19+Inputs!B20+12)))+Cost!B24</f>
        <v>187810857.6</v>
      </c>
      <c r="C12" s="9" t="s">
        <v>282</v>
      </c>
      <c r="D12" s="2"/>
      <c r="E12" s="2"/>
      <c r="F12" s="2"/>
      <c r="G12" s="2"/>
      <c r="H12" s="2"/>
      <c r="I12" s="2"/>
      <c r="J12" s="2"/>
      <c r="K12" s="2"/>
      <c r="L12" s="2"/>
    </row>
    <row r="13">
      <c r="A13" s="9" t="s">
        <v>283</v>
      </c>
      <c r="B13" s="4" t="str">
        <f>IF(B4&gt;=Inputs!B36,"DSCR screen passes only","FAIL: tested loan not income-supported")</f>
        <v>FAIL: tested loan not income-supported</v>
      </c>
      <c r="C13" s="9" t="s">
        <v>285</v>
      </c>
      <c r="D13" s="2"/>
      <c r="E13" s="2"/>
      <c r="F13" s="2"/>
      <c r="G13" s="2"/>
      <c r="H13" s="2"/>
      <c r="I13" s="2"/>
      <c r="J13" s="2"/>
      <c r="K13" s="2"/>
      <c r="L13" s="2"/>
    </row>
    <row r="14">
      <c r="A14" s="9" t="s">
        <v>287</v>
      </c>
      <c r="B14" s="4">
        <f>-PMT(Inputs!B35/12,Inputs!B37*12,MIN(B2,B6))*12</f>
        <v>2599123.077</v>
      </c>
      <c r="C14" s="9" t="s">
        <v>288</v>
      </c>
      <c r="D14" s="2"/>
      <c r="E14" s="2"/>
      <c r="F14" s="2"/>
      <c r="G14" s="2"/>
      <c r="H14" s="2"/>
      <c r="I14" s="2"/>
      <c r="J14" s="2"/>
      <c r="K14" s="2"/>
      <c r="L14" s="2"/>
    </row>
    <row r="15">
      <c r="A15" s="9" t="s">
        <v>289</v>
      </c>
      <c r="B15" s="4">
        <f>MAX(0,B14-SUMIFS(Cashflow!H3:H80,Cashflow!A3:A80,"&gt;"&amp;(Inputs!B19+Inputs!B20),Cashflow!A3:A80,"&lt;="&amp;(Inputs!B19+Inputs!B20+12)))</f>
        <v>1048751.827</v>
      </c>
      <c r="C15" s="9" t="s">
        <v>292</v>
      </c>
      <c r="D15" s="2"/>
      <c r="E15" s="2"/>
      <c r="F15" s="2"/>
      <c r="G15" s="2"/>
      <c r="H15" s="2"/>
      <c r="I15" s="2"/>
      <c r="J15" s="2"/>
      <c r="K15" s="2"/>
      <c r="L15" s="2"/>
    </row>
    <row r="16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A34" s="2"/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A35" s="2"/>
      <c r="B35" s="4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A56" s="2"/>
      <c r="B56" s="4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A57" s="2"/>
      <c r="B57" s="4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A58" s="2"/>
      <c r="B58" s="4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A61" s="2"/>
      <c r="B61" s="4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A101" s="2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A102" s="2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A103" s="2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A104" s="2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A105" s="2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A107" s="2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A108" s="2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A110" s="2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A111" s="2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A112" s="2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A113" s="2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A114" s="2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A115" s="2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A116" s="2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A117" s="2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A118" s="2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A119" s="2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A120" s="2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A121" s="2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A122" s="2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A123" s="2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A124" s="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A125" s="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A126" s="2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A127" s="2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A128" s="2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A129" s="2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A130" s="2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A131" s="2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A132" s="2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A133" s="2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A134" s="2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A135" s="2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A136" s="2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A138" s="2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A139" s="2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A140" s="2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A141" s="2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A142" s="2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A143" s="2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A144" s="2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A145" s="2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A146" s="2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A148" s="2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A149" s="2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A150" s="2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A151" s="2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A152" s="2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A154" s="2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A155" s="2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1" width="19.5"/>
  </cols>
  <sheetData>
    <row r="1">
      <c r="A1" s="1" t="s">
        <v>247</v>
      </c>
      <c r="B1" s="1" t="s">
        <v>249</v>
      </c>
      <c r="C1" s="1" t="s">
        <v>250</v>
      </c>
      <c r="D1" s="1" t="s">
        <v>251</v>
      </c>
      <c r="E1" s="1" t="s">
        <v>252</v>
      </c>
      <c r="F1" s="1" t="s">
        <v>244</v>
      </c>
      <c r="G1" s="1" t="s">
        <v>255</v>
      </c>
      <c r="H1" s="1" t="s">
        <v>256</v>
      </c>
      <c r="I1" s="1" t="s">
        <v>258</v>
      </c>
      <c r="J1" s="1" t="s">
        <v>260</v>
      </c>
      <c r="K1" s="1" t="s">
        <v>261</v>
      </c>
      <c r="L1" s="1"/>
    </row>
    <row r="2">
      <c r="A2" s="2">
        <v>0.0</v>
      </c>
      <c r="B2" s="2" t="s">
        <v>262</v>
      </c>
      <c r="C2" s="2">
        <v>0.0</v>
      </c>
      <c r="D2" s="2">
        <v>0.0</v>
      </c>
      <c r="E2" s="2">
        <v>0.0</v>
      </c>
      <c r="F2" s="2">
        <v>0.0</v>
      </c>
      <c r="G2" s="2">
        <v>0.0</v>
      </c>
      <c r="H2" s="2">
        <v>0.0</v>
      </c>
      <c r="I2" s="2">
        <v>0.0</v>
      </c>
      <c r="J2" s="2">
        <v>0.0</v>
      </c>
      <c r="K2" s="2">
        <v>0.0</v>
      </c>
      <c r="L2" s="2"/>
    </row>
    <row r="3">
      <c r="A3" s="2">
        <v>1.0</v>
      </c>
      <c r="B3" s="2" t="str">
        <f>IF(A3&lt;=Inputs!B19,"Packaging / approvals",IF(A3&lt;=(Inputs!B19+Inputs!B20),"Construction","Operations"))</f>
        <v>Packaging / approvals</v>
      </c>
      <c r="C3" s="2">
        <f>IF(A3&lt;=Inputs!B19,Cost!B14/Inputs!B19,IF(A3&lt;=(Inputs!B19+Inputs!B20),Cost!B13/Inputs!B20,0))+IF(A3&lt;=(Inputs!B19+Inputs!B20),Inputs!B21,0)+IF(A3=(Inputs!B19+Inputs!B20),Cost!B15,0)</f>
        <v>112500</v>
      </c>
      <c r="D3" s="2">
        <f>IF(A3&gt;(Inputs!B19+Inputs!B20),Operations!B4/12*MIN(1,0.5+0.5*(A3-(Inputs!B19+Inputs!B20))/Inputs!B39),0)</f>
        <v>0</v>
      </c>
      <c r="E3" s="2">
        <f>IF(A3&gt;(Inputs!B19+Inputs!B20),D3*(Inputs!B25+Inputs!B27)+Inputs!B26/12,0)</f>
        <v>0</v>
      </c>
      <c r="F3" s="2">
        <f>IF(A3&gt;(Inputs!B19+Inputs!B20),Operations!B12/12*MIN(1,0.5+0.5*(A3-(Inputs!B19+Inputs!B20))/Inputs!B39),0)</f>
        <v>0</v>
      </c>
      <c r="G3" s="2">
        <f>IF(A3&gt;(Inputs!B19+Inputs!B20),Inputs!B31/12,0)</f>
        <v>0</v>
      </c>
      <c r="H3" s="2">
        <f t="shared" ref="H3:H80" si="1">D3-E3+F3-G3</f>
        <v>0</v>
      </c>
      <c r="I3" s="2">
        <f>IF(A3&gt;(Inputs!B19+Inputs!B20),Funding!B3/12,0)</f>
        <v>0</v>
      </c>
      <c r="J3" s="2">
        <f t="shared" ref="J3:J80" si="2">J2+H3</f>
        <v>0</v>
      </c>
      <c r="K3" s="2">
        <f t="shared" ref="K3:K80" si="3">K2+H3-I3</f>
        <v>0</v>
      </c>
      <c r="L3" s="2"/>
    </row>
    <row r="4">
      <c r="A4" s="2">
        <v>2.0</v>
      </c>
      <c r="B4" s="2" t="str">
        <f>IF(A4&lt;=Inputs!B19,"Packaging / approvals",IF(A4&lt;=(Inputs!B19+Inputs!B20),"Construction","Operations"))</f>
        <v>Packaging / approvals</v>
      </c>
      <c r="C4" s="2">
        <f>IF(A4&lt;=Inputs!B19,Cost!B14/Inputs!B19,IF(A4&lt;=(Inputs!B19+Inputs!B20),Cost!B13/Inputs!B20,0))+IF(A4&lt;=(Inputs!B19+Inputs!B20),Inputs!B21,0)+IF(A4=(Inputs!B19+Inputs!B20),Cost!B15,0)</f>
        <v>112500</v>
      </c>
      <c r="D4" s="2">
        <f>IF(A4&gt;(Inputs!B19+Inputs!B20),Operations!B4/12*MIN(1,0.5+0.5*(A4-(Inputs!B19+Inputs!B20))/Inputs!B39),0)</f>
        <v>0</v>
      </c>
      <c r="E4" s="2">
        <f>IF(A4&gt;(Inputs!B19+Inputs!B20),D4*(Inputs!B25+Inputs!B27)+Inputs!B26/12,0)</f>
        <v>0</v>
      </c>
      <c r="F4" s="2">
        <f>IF(A4&gt;(Inputs!B19+Inputs!B20),Operations!B12/12*MIN(1,0.5+0.5*(A4-(Inputs!B19+Inputs!B20))/Inputs!B39),0)</f>
        <v>0</v>
      </c>
      <c r="G4" s="2">
        <f>IF(A4&gt;(Inputs!B19+Inputs!B20),Inputs!B31/12,0)</f>
        <v>0</v>
      </c>
      <c r="H4" s="2">
        <f t="shared" si="1"/>
        <v>0</v>
      </c>
      <c r="I4" s="2">
        <f>IF(A4&gt;(Inputs!B19+Inputs!B20),Funding!B3/12,0)</f>
        <v>0</v>
      </c>
      <c r="J4" s="2">
        <f t="shared" si="2"/>
        <v>0</v>
      </c>
      <c r="K4" s="2">
        <f t="shared" si="3"/>
        <v>0</v>
      </c>
      <c r="L4" s="2"/>
    </row>
    <row r="5">
      <c r="A5" s="2">
        <v>3.0</v>
      </c>
      <c r="B5" s="2" t="str">
        <f>IF(A5&lt;=Inputs!B19,"Packaging / approvals",IF(A5&lt;=(Inputs!B19+Inputs!B20),"Construction","Operations"))</f>
        <v>Packaging / approvals</v>
      </c>
      <c r="C5" s="2">
        <f>IF(A5&lt;=Inputs!B19,Cost!B14/Inputs!B19,IF(A5&lt;=(Inputs!B19+Inputs!B20),Cost!B13/Inputs!B20,0))+IF(A5&lt;=(Inputs!B19+Inputs!B20),Inputs!B21,0)+IF(A5=(Inputs!B19+Inputs!B20),Cost!B15,0)</f>
        <v>112500</v>
      </c>
      <c r="D5" s="2">
        <f>IF(A5&gt;(Inputs!B19+Inputs!B20),Operations!B4/12*MIN(1,0.5+0.5*(A5-(Inputs!B19+Inputs!B20))/Inputs!B39),0)</f>
        <v>0</v>
      </c>
      <c r="E5" s="2">
        <f>IF(A5&gt;(Inputs!B19+Inputs!B20),D5*(Inputs!B25+Inputs!B27)+Inputs!B26/12,0)</f>
        <v>0</v>
      </c>
      <c r="F5" s="2">
        <f>IF(A5&gt;(Inputs!B19+Inputs!B20),Operations!B12/12*MIN(1,0.5+0.5*(A5-(Inputs!B19+Inputs!B20))/Inputs!B39),0)</f>
        <v>0</v>
      </c>
      <c r="G5" s="2">
        <f>IF(A5&gt;(Inputs!B19+Inputs!B20),Inputs!B31/12,0)</f>
        <v>0</v>
      </c>
      <c r="H5" s="2">
        <f t="shared" si="1"/>
        <v>0</v>
      </c>
      <c r="I5" s="2">
        <f>IF(A5&gt;(Inputs!B19+Inputs!B20),Funding!B3/12,0)</f>
        <v>0</v>
      </c>
      <c r="J5" s="2">
        <f t="shared" si="2"/>
        <v>0</v>
      </c>
      <c r="K5" s="2">
        <f t="shared" si="3"/>
        <v>0</v>
      </c>
      <c r="L5" s="2"/>
    </row>
    <row r="6">
      <c r="A6" s="2">
        <v>4.0</v>
      </c>
      <c r="B6" s="2" t="str">
        <f>IF(A6&lt;=Inputs!B19,"Packaging / approvals",IF(A6&lt;=(Inputs!B19+Inputs!B20),"Construction","Operations"))</f>
        <v>Packaging / approvals</v>
      </c>
      <c r="C6" s="2">
        <f>IF(A6&lt;=Inputs!B19,Cost!B14/Inputs!B19,IF(A6&lt;=(Inputs!B19+Inputs!B20),Cost!B13/Inputs!B20,0))+IF(A6&lt;=(Inputs!B19+Inputs!B20),Inputs!B21,0)+IF(A6=(Inputs!B19+Inputs!B20),Cost!B15,0)</f>
        <v>112500</v>
      </c>
      <c r="D6" s="2">
        <f>IF(A6&gt;(Inputs!B19+Inputs!B20),Operations!B4/12*MIN(1,0.5+0.5*(A6-(Inputs!B19+Inputs!B20))/Inputs!B39),0)</f>
        <v>0</v>
      </c>
      <c r="E6" s="2">
        <f>IF(A6&gt;(Inputs!B19+Inputs!B20),D6*(Inputs!B25+Inputs!B27)+Inputs!B26/12,0)</f>
        <v>0</v>
      </c>
      <c r="F6" s="2">
        <f>IF(A6&gt;(Inputs!B19+Inputs!B20),Operations!B12/12*MIN(1,0.5+0.5*(A6-(Inputs!B19+Inputs!B20))/Inputs!B39),0)</f>
        <v>0</v>
      </c>
      <c r="G6" s="2">
        <f>IF(A6&gt;(Inputs!B19+Inputs!B20),Inputs!B31/12,0)</f>
        <v>0</v>
      </c>
      <c r="H6" s="2">
        <f t="shared" si="1"/>
        <v>0</v>
      </c>
      <c r="I6" s="2">
        <f>IF(A6&gt;(Inputs!B19+Inputs!B20),Funding!B3/12,0)</f>
        <v>0</v>
      </c>
      <c r="J6" s="2">
        <f t="shared" si="2"/>
        <v>0</v>
      </c>
      <c r="K6" s="2">
        <f t="shared" si="3"/>
        <v>0</v>
      </c>
      <c r="L6" s="2"/>
    </row>
    <row r="7">
      <c r="A7" s="2">
        <v>5.0</v>
      </c>
      <c r="B7" s="2" t="str">
        <f>IF(A7&lt;=Inputs!B19,"Packaging / approvals",IF(A7&lt;=(Inputs!B19+Inputs!B20),"Construction","Operations"))</f>
        <v>Packaging / approvals</v>
      </c>
      <c r="C7" s="2">
        <f>IF(A7&lt;=Inputs!B19,Cost!B14/Inputs!B19,IF(A7&lt;=(Inputs!B19+Inputs!B20),Cost!B13/Inputs!B20,0))+IF(A7&lt;=(Inputs!B19+Inputs!B20),Inputs!B21,0)+IF(A7=(Inputs!B19+Inputs!B20),Cost!B15,0)</f>
        <v>112500</v>
      </c>
      <c r="D7" s="2">
        <f>IF(A7&gt;(Inputs!B19+Inputs!B20),Operations!B4/12*MIN(1,0.5+0.5*(A7-(Inputs!B19+Inputs!B20))/Inputs!B39),0)</f>
        <v>0</v>
      </c>
      <c r="E7" s="2">
        <f>IF(A7&gt;(Inputs!B19+Inputs!B20),D7*(Inputs!B25+Inputs!B27)+Inputs!B26/12,0)</f>
        <v>0</v>
      </c>
      <c r="F7" s="2">
        <f>IF(A7&gt;(Inputs!B19+Inputs!B20),Operations!B12/12*MIN(1,0.5+0.5*(A7-(Inputs!B19+Inputs!B20))/Inputs!B39),0)</f>
        <v>0</v>
      </c>
      <c r="G7" s="2">
        <f>IF(A7&gt;(Inputs!B19+Inputs!B20),Inputs!B31/12,0)</f>
        <v>0</v>
      </c>
      <c r="H7" s="2">
        <f t="shared" si="1"/>
        <v>0</v>
      </c>
      <c r="I7" s="2">
        <f>IF(A7&gt;(Inputs!B19+Inputs!B20),Funding!B3/12,0)</f>
        <v>0</v>
      </c>
      <c r="J7" s="2">
        <f t="shared" si="2"/>
        <v>0</v>
      </c>
      <c r="K7" s="2">
        <f t="shared" si="3"/>
        <v>0</v>
      </c>
      <c r="L7" s="2"/>
    </row>
    <row r="8">
      <c r="A8" s="2">
        <v>6.0</v>
      </c>
      <c r="B8" s="2" t="str">
        <f>IF(A8&lt;=Inputs!B19,"Packaging / approvals",IF(A8&lt;=(Inputs!B19+Inputs!B20),"Construction","Operations"))</f>
        <v>Packaging / approvals</v>
      </c>
      <c r="C8" s="2">
        <f>IF(A8&lt;=Inputs!B19,Cost!B14/Inputs!B19,IF(A8&lt;=(Inputs!B19+Inputs!B20),Cost!B13/Inputs!B20,0))+IF(A8&lt;=(Inputs!B19+Inputs!B20),Inputs!B21,0)+IF(A8=(Inputs!B19+Inputs!B20),Cost!B15,0)</f>
        <v>112500</v>
      </c>
      <c r="D8" s="2">
        <f>IF(A8&gt;(Inputs!B19+Inputs!B20),Operations!B4/12*MIN(1,0.5+0.5*(A8-(Inputs!B19+Inputs!B20))/Inputs!B39),0)</f>
        <v>0</v>
      </c>
      <c r="E8" s="2">
        <f>IF(A8&gt;(Inputs!B19+Inputs!B20),D8*(Inputs!B25+Inputs!B27)+Inputs!B26/12,0)</f>
        <v>0</v>
      </c>
      <c r="F8" s="2">
        <f>IF(A8&gt;(Inputs!B19+Inputs!B20),Operations!B12/12*MIN(1,0.5+0.5*(A8-(Inputs!B19+Inputs!B20))/Inputs!B39),0)</f>
        <v>0</v>
      </c>
      <c r="G8" s="2">
        <f>IF(A8&gt;(Inputs!B19+Inputs!B20),Inputs!B31/12,0)</f>
        <v>0</v>
      </c>
      <c r="H8" s="2">
        <f t="shared" si="1"/>
        <v>0</v>
      </c>
      <c r="I8" s="2">
        <f>IF(A8&gt;(Inputs!B19+Inputs!B20),Funding!B3/12,0)</f>
        <v>0</v>
      </c>
      <c r="J8" s="2">
        <f t="shared" si="2"/>
        <v>0</v>
      </c>
      <c r="K8" s="2">
        <f t="shared" si="3"/>
        <v>0</v>
      </c>
      <c r="L8" s="2"/>
    </row>
    <row r="9">
      <c r="A9" s="2">
        <v>7.0</v>
      </c>
      <c r="B9" s="2" t="str">
        <f>IF(A9&lt;=Inputs!B19,"Packaging / approvals",IF(A9&lt;=(Inputs!B19+Inputs!B20),"Construction","Operations"))</f>
        <v>Packaging / approvals</v>
      </c>
      <c r="C9" s="2">
        <f>IF(A9&lt;=Inputs!B19,Cost!B14/Inputs!B19,IF(A9&lt;=(Inputs!B19+Inputs!B20),Cost!B13/Inputs!B20,0))+IF(A9&lt;=(Inputs!B19+Inputs!B20),Inputs!B21,0)+IF(A9=(Inputs!B19+Inputs!B20),Cost!B15,0)</f>
        <v>112500</v>
      </c>
      <c r="D9" s="2">
        <f>IF(A9&gt;(Inputs!B19+Inputs!B20),Operations!B4/12*MIN(1,0.5+0.5*(A9-(Inputs!B19+Inputs!B20))/Inputs!B39),0)</f>
        <v>0</v>
      </c>
      <c r="E9" s="2">
        <f>IF(A9&gt;(Inputs!B19+Inputs!B20),D9*(Inputs!B25+Inputs!B27)+Inputs!B26/12,0)</f>
        <v>0</v>
      </c>
      <c r="F9" s="2">
        <f>IF(A9&gt;(Inputs!B19+Inputs!B20),Operations!B12/12*MIN(1,0.5+0.5*(A9-(Inputs!B19+Inputs!B20))/Inputs!B39),0)</f>
        <v>0</v>
      </c>
      <c r="G9" s="2">
        <f>IF(A9&gt;(Inputs!B19+Inputs!B20),Inputs!B31/12,0)</f>
        <v>0</v>
      </c>
      <c r="H9" s="2">
        <f t="shared" si="1"/>
        <v>0</v>
      </c>
      <c r="I9" s="2">
        <f>IF(A9&gt;(Inputs!B19+Inputs!B20),Funding!B3/12,0)</f>
        <v>0</v>
      </c>
      <c r="J9" s="2">
        <f t="shared" si="2"/>
        <v>0</v>
      </c>
      <c r="K9" s="2">
        <f t="shared" si="3"/>
        <v>0</v>
      </c>
      <c r="L9" s="2"/>
    </row>
    <row r="10">
      <c r="A10" s="2">
        <v>8.0</v>
      </c>
      <c r="B10" s="2" t="str">
        <f>IF(A10&lt;=Inputs!B19,"Packaging / approvals",IF(A10&lt;=(Inputs!B19+Inputs!B20),"Construction","Operations"))</f>
        <v>Packaging / approvals</v>
      </c>
      <c r="C10" s="2">
        <f>IF(A10&lt;=Inputs!B19,Cost!B14/Inputs!B19,IF(A10&lt;=(Inputs!B19+Inputs!B20),Cost!B13/Inputs!B20,0))+IF(A10&lt;=(Inputs!B19+Inputs!B20),Inputs!B21,0)+IF(A10=(Inputs!B19+Inputs!B20),Cost!B15,0)</f>
        <v>112500</v>
      </c>
      <c r="D10" s="2">
        <f>IF(A10&gt;(Inputs!B19+Inputs!B20),Operations!B4/12*MIN(1,0.5+0.5*(A10-(Inputs!B19+Inputs!B20))/Inputs!B39),0)</f>
        <v>0</v>
      </c>
      <c r="E10" s="2">
        <f>IF(A10&gt;(Inputs!B19+Inputs!B20),D10*(Inputs!B25+Inputs!B27)+Inputs!B26/12,0)</f>
        <v>0</v>
      </c>
      <c r="F10" s="2">
        <f>IF(A10&gt;(Inputs!B19+Inputs!B20),Operations!B12/12*MIN(1,0.5+0.5*(A10-(Inputs!B19+Inputs!B20))/Inputs!B39),0)</f>
        <v>0</v>
      </c>
      <c r="G10" s="2">
        <f>IF(A10&gt;(Inputs!B19+Inputs!B20),Inputs!B31/12,0)</f>
        <v>0</v>
      </c>
      <c r="H10" s="2">
        <f t="shared" si="1"/>
        <v>0</v>
      </c>
      <c r="I10" s="2">
        <f>IF(A10&gt;(Inputs!B19+Inputs!B20),Funding!B3/12,0)</f>
        <v>0</v>
      </c>
      <c r="J10" s="2">
        <f t="shared" si="2"/>
        <v>0</v>
      </c>
      <c r="K10" s="2">
        <f t="shared" si="3"/>
        <v>0</v>
      </c>
      <c r="L10" s="2"/>
    </row>
    <row r="11">
      <c r="A11" s="2">
        <v>9.0</v>
      </c>
      <c r="B11" s="2" t="str">
        <f>IF(A11&lt;=Inputs!B19,"Packaging / approvals",IF(A11&lt;=(Inputs!B19+Inputs!B20),"Construction","Operations"))</f>
        <v>Packaging / approvals</v>
      </c>
      <c r="C11" s="2">
        <f>IF(A11&lt;=Inputs!B19,Cost!B14/Inputs!B19,IF(A11&lt;=(Inputs!B19+Inputs!B20),Cost!B13/Inputs!B20,0))+IF(A11&lt;=(Inputs!B19+Inputs!B20),Inputs!B21,0)+IF(A11=(Inputs!B19+Inputs!B20),Cost!B15,0)</f>
        <v>112500</v>
      </c>
      <c r="D11" s="2">
        <f>IF(A11&gt;(Inputs!B19+Inputs!B20),Operations!B4/12*MIN(1,0.5+0.5*(A11-(Inputs!B19+Inputs!B20))/Inputs!B39),0)</f>
        <v>0</v>
      </c>
      <c r="E11" s="2">
        <f>IF(A11&gt;(Inputs!B19+Inputs!B20),D11*(Inputs!B25+Inputs!B27)+Inputs!B26/12,0)</f>
        <v>0</v>
      </c>
      <c r="F11" s="2">
        <f>IF(A11&gt;(Inputs!B19+Inputs!B20),Operations!B12/12*MIN(1,0.5+0.5*(A11-(Inputs!B19+Inputs!B20))/Inputs!B39),0)</f>
        <v>0</v>
      </c>
      <c r="G11" s="2">
        <f>IF(A11&gt;(Inputs!B19+Inputs!B20),Inputs!B31/12,0)</f>
        <v>0</v>
      </c>
      <c r="H11" s="2">
        <f t="shared" si="1"/>
        <v>0</v>
      </c>
      <c r="I11" s="2">
        <f>IF(A11&gt;(Inputs!B19+Inputs!B20),Funding!B3/12,0)</f>
        <v>0</v>
      </c>
      <c r="J11" s="2">
        <f t="shared" si="2"/>
        <v>0</v>
      </c>
      <c r="K11" s="2">
        <f t="shared" si="3"/>
        <v>0</v>
      </c>
      <c r="L11" s="2"/>
    </row>
    <row r="12">
      <c r="A12" s="2">
        <v>10.0</v>
      </c>
      <c r="B12" s="2" t="str">
        <f>IF(A12&lt;=Inputs!B19,"Packaging / approvals",IF(A12&lt;=(Inputs!B19+Inputs!B20),"Construction","Operations"))</f>
        <v>Packaging / approvals</v>
      </c>
      <c r="C12" s="2">
        <f>IF(A12&lt;=Inputs!B19,Cost!B14/Inputs!B19,IF(A12&lt;=(Inputs!B19+Inputs!B20),Cost!B13/Inputs!B20,0))+IF(A12&lt;=(Inputs!B19+Inputs!B20),Inputs!B21,0)+IF(A12=(Inputs!B19+Inputs!B20),Cost!B15,0)</f>
        <v>112500</v>
      </c>
      <c r="D12" s="2">
        <f>IF(A12&gt;(Inputs!B19+Inputs!B20),Operations!B4/12*MIN(1,0.5+0.5*(A12-(Inputs!B19+Inputs!B20))/Inputs!B39),0)</f>
        <v>0</v>
      </c>
      <c r="E12" s="2">
        <f>IF(A12&gt;(Inputs!B19+Inputs!B20),D12*(Inputs!B25+Inputs!B27)+Inputs!B26/12,0)</f>
        <v>0</v>
      </c>
      <c r="F12" s="2">
        <f>IF(A12&gt;(Inputs!B19+Inputs!B20),Operations!B12/12*MIN(1,0.5+0.5*(A12-(Inputs!B19+Inputs!B20))/Inputs!B39),0)</f>
        <v>0</v>
      </c>
      <c r="G12" s="2">
        <f>IF(A12&gt;(Inputs!B19+Inputs!B20),Inputs!B31/12,0)</f>
        <v>0</v>
      </c>
      <c r="H12" s="2">
        <f t="shared" si="1"/>
        <v>0</v>
      </c>
      <c r="I12" s="2">
        <f>IF(A12&gt;(Inputs!B19+Inputs!B20),Funding!B3/12,0)</f>
        <v>0</v>
      </c>
      <c r="J12" s="2">
        <f t="shared" si="2"/>
        <v>0</v>
      </c>
      <c r="K12" s="2">
        <f t="shared" si="3"/>
        <v>0</v>
      </c>
      <c r="L12" s="2"/>
    </row>
    <row r="13">
      <c r="A13" s="2">
        <v>11.0</v>
      </c>
      <c r="B13" s="2" t="str">
        <f>IF(A13&lt;=Inputs!B19,"Packaging / approvals",IF(A13&lt;=(Inputs!B19+Inputs!B20),"Construction","Operations"))</f>
        <v>Packaging / approvals</v>
      </c>
      <c r="C13" s="2">
        <f>IF(A13&lt;=Inputs!B19,Cost!B14/Inputs!B19,IF(A13&lt;=(Inputs!B19+Inputs!B20),Cost!B13/Inputs!B20,0))+IF(A13&lt;=(Inputs!B19+Inputs!B20),Inputs!B21,0)+IF(A13=(Inputs!B19+Inputs!B20),Cost!B15,0)</f>
        <v>112500</v>
      </c>
      <c r="D13" s="2">
        <f>IF(A13&gt;(Inputs!B19+Inputs!B20),Operations!B4/12*MIN(1,0.5+0.5*(A13-(Inputs!B19+Inputs!B20))/Inputs!B39),0)</f>
        <v>0</v>
      </c>
      <c r="E13" s="2">
        <f>IF(A13&gt;(Inputs!B19+Inputs!B20),D13*(Inputs!B25+Inputs!B27)+Inputs!B26/12,0)</f>
        <v>0</v>
      </c>
      <c r="F13" s="2">
        <f>IF(A13&gt;(Inputs!B19+Inputs!B20),Operations!B12/12*MIN(1,0.5+0.5*(A13-(Inputs!B19+Inputs!B20))/Inputs!B39),0)</f>
        <v>0</v>
      </c>
      <c r="G13" s="2">
        <f>IF(A13&gt;(Inputs!B19+Inputs!B20),Inputs!B31/12,0)</f>
        <v>0</v>
      </c>
      <c r="H13" s="2">
        <f t="shared" si="1"/>
        <v>0</v>
      </c>
      <c r="I13" s="2">
        <f>IF(A13&gt;(Inputs!B19+Inputs!B20),Funding!B3/12,0)</f>
        <v>0</v>
      </c>
      <c r="J13" s="2">
        <f t="shared" si="2"/>
        <v>0</v>
      </c>
      <c r="K13" s="2">
        <f t="shared" si="3"/>
        <v>0</v>
      </c>
      <c r="L13" s="2"/>
    </row>
    <row r="14">
      <c r="A14" s="2">
        <v>12.0</v>
      </c>
      <c r="B14" s="2" t="str">
        <f>IF(A14&lt;=Inputs!B19,"Packaging / approvals",IF(A14&lt;=(Inputs!B19+Inputs!B20),"Construction","Operations"))</f>
        <v>Packaging / approvals</v>
      </c>
      <c r="C14" s="2">
        <f>IF(A14&lt;=Inputs!B19,Cost!B14/Inputs!B19,IF(A14&lt;=(Inputs!B19+Inputs!B20),Cost!B13/Inputs!B20,0))+IF(A14&lt;=(Inputs!B19+Inputs!B20),Inputs!B21,0)+IF(A14=(Inputs!B19+Inputs!B20),Cost!B15,0)</f>
        <v>112500</v>
      </c>
      <c r="D14" s="2">
        <f>IF(A14&gt;(Inputs!B19+Inputs!B20),Operations!B4/12*MIN(1,0.5+0.5*(A14-(Inputs!B19+Inputs!B20))/Inputs!B39),0)</f>
        <v>0</v>
      </c>
      <c r="E14" s="2">
        <f>IF(A14&gt;(Inputs!B19+Inputs!B20),D14*(Inputs!B25+Inputs!B27)+Inputs!B26/12,0)</f>
        <v>0</v>
      </c>
      <c r="F14" s="2">
        <f>IF(A14&gt;(Inputs!B19+Inputs!B20),Operations!B12/12*MIN(1,0.5+0.5*(A14-(Inputs!B19+Inputs!B20))/Inputs!B39),0)</f>
        <v>0</v>
      </c>
      <c r="G14" s="2">
        <f>IF(A14&gt;(Inputs!B19+Inputs!B20),Inputs!B31/12,0)</f>
        <v>0</v>
      </c>
      <c r="H14" s="2">
        <f t="shared" si="1"/>
        <v>0</v>
      </c>
      <c r="I14" s="2">
        <f>IF(A14&gt;(Inputs!B19+Inputs!B20),Funding!B3/12,0)</f>
        <v>0</v>
      </c>
      <c r="J14" s="2">
        <f t="shared" si="2"/>
        <v>0</v>
      </c>
      <c r="K14" s="2">
        <f t="shared" si="3"/>
        <v>0</v>
      </c>
      <c r="L14" s="2"/>
    </row>
    <row r="15">
      <c r="A15" s="2">
        <v>13.0</v>
      </c>
      <c r="B15" s="2" t="str">
        <f>IF(A15&lt;=Inputs!B19,"Packaging / approvals",IF(A15&lt;=(Inputs!B19+Inputs!B20),"Construction","Operations"))</f>
        <v>Packaging / approvals</v>
      </c>
      <c r="C15" s="2">
        <f>IF(A15&lt;=Inputs!B19,Cost!B14/Inputs!B19,IF(A15&lt;=(Inputs!B19+Inputs!B20),Cost!B13/Inputs!B20,0))+IF(A15&lt;=(Inputs!B19+Inputs!B20),Inputs!B21,0)+IF(A15=(Inputs!B19+Inputs!B20),Cost!B15,0)</f>
        <v>112500</v>
      </c>
      <c r="D15" s="2">
        <f>IF(A15&gt;(Inputs!B19+Inputs!B20),Operations!B4/12*MIN(1,0.5+0.5*(A15-(Inputs!B19+Inputs!B20))/Inputs!B39),0)</f>
        <v>0</v>
      </c>
      <c r="E15" s="2">
        <f>IF(A15&gt;(Inputs!B19+Inputs!B20),D15*(Inputs!B25+Inputs!B27)+Inputs!B26/12,0)</f>
        <v>0</v>
      </c>
      <c r="F15" s="2">
        <f>IF(A15&gt;(Inputs!B19+Inputs!B20),Operations!B12/12*MIN(1,0.5+0.5*(A15-(Inputs!B19+Inputs!B20))/Inputs!B39),0)</f>
        <v>0</v>
      </c>
      <c r="G15" s="2">
        <f>IF(A15&gt;(Inputs!B19+Inputs!B20),Inputs!B31/12,0)</f>
        <v>0</v>
      </c>
      <c r="H15" s="2">
        <f t="shared" si="1"/>
        <v>0</v>
      </c>
      <c r="I15" s="2">
        <f>IF(A15&gt;(Inputs!B19+Inputs!B20),Funding!B3/12,0)</f>
        <v>0</v>
      </c>
      <c r="J15" s="2">
        <f t="shared" si="2"/>
        <v>0</v>
      </c>
      <c r="K15" s="2">
        <f t="shared" si="3"/>
        <v>0</v>
      </c>
      <c r="L15" s="2"/>
    </row>
    <row r="16">
      <c r="A16" s="2">
        <v>14.0</v>
      </c>
      <c r="B16" s="2" t="str">
        <f>IF(A16&lt;=Inputs!B19,"Packaging / approvals",IF(A16&lt;=(Inputs!B19+Inputs!B20),"Construction","Operations"))</f>
        <v>Packaging / approvals</v>
      </c>
      <c r="C16" s="2">
        <f>IF(A16&lt;=Inputs!B19,Cost!B14/Inputs!B19,IF(A16&lt;=(Inputs!B19+Inputs!B20),Cost!B13/Inputs!B20,0))+IF(A16&lt;=(Inputs!B19+Inputs!B20),Inputs!B21,0)+IF(A16=(Inputs!B19+Inputs!B20),Cost!B15,0)</f>
        <v>112500</v>
      </c>
      <c r="D16" s="2">
        <f>IF(A16&gt;(Inputs!B19+Inputs!B20),Operations!B4/12*MIN(1,0.5+0.5*(A16-(Inputs!B19+Inputs!B20))/Inputs!B39),0)</f>
        <v>0</v>
      </c>
      <c r="E16" s="2">
        <f>IF(A16&gt;(Inputs!B19+Inputs!B20),D16*(Inputs!B25+Inputs!B27)+Inputs!B26/12,0)</f>
        <v>0</v>
      </c>
      <c r="F16" s="2">
        <f>IF(A16&gt;(Inputs!B19+Inputs!B20),Operations!B12/12*MIN(1,0.5+0.5*(A16-(Inputs!B19+Inputs!B20))/Inputs!B39),0)</f>
        <v>0</v>
      </c>
      <c r="G16" s="2">
        <f>IF(A16&gt;(Inputs!B19+Inputs!B20),Inputs!B31/12,0)</f>
        <v>0</v>
      </c>
      <c r="H16" s="2">
        <f t="shared" si="1"/>
        <v>0</v>
      </c>
      <c r="I16" s="2">
        <f>IF(A16&gt;(Inputs!B19+Inputs!B20),Funding!B3/12,0)</f>
        <v>0</v>
      </c>
      <c r="J16" s="2">
        <f t="shared" si="2"/>
        <v>0</v>
      </c>
      <c r="K16" s="2">
        <f t="shared" si="3"/>
        <v>0</v>
      </c>
      <c r="L16" s="2"/>
    </row>
    <row r="17">
      <c r="A17" s="2">
        <v>15.0</v>
      </c>
      <c r="B17" s="2" t="str">
        <f>IF(A17&lt;=Inputs!B19,"Packaging / approvals",IF(A17&lt;=(Inputs!B19+Inputs!B20),"Construction","Operations"))</f>
        <v>Packaging / approvals</v>
      </c>
      <c r="C17" s="2">
        <f>IF(A17&lt;=Inputs!B19,Cost!B14/Inputs!B19,IF(A17&lt;=(Inputs!B19+Inputs!B20),Cost!B13/Inputs!B20,0))+IF(A17&lt;=(Inputs!B19+Inputs!B20),Inputs!B21,0)+IF(A17=(Inputs!B19+Inputs!B20),Cost!B15,0)</f>
        <v>112500</v>
      </c>
      <c r="D17" s="2">
        <f>IF(A17&gt;(Inputs!B19+Inputs!B20),Operations!B4/12*MIN(1,0.5+0.5*(A17-(Inputs!B19+Inputs!B20))/Inputs!B39),0)</f>
        <v>0</v>
      </c>
      <c r="E17" s="2">
        <f>IF(A17&gt;(Inputs!B19+Inputs!B20),D17*(Inputs!B25+Inputs!B27)+Inputs!B26/12,0)</f>
        <v>0</v>
      </c>
      <c r="F17" s="2">
        <f>IF(A17&gt;(Inputs!B19+Inputs!B20),Operations!B12/12*MIN(1,0.5+0.5*(A17-(Inputs!B19+Inputs!B20))/Inputs!B39),0)</f>
        <v>0</v>
      </c>
      <c r="G17" s="2">
        <f>IF(A17&gt;(Inputs!B19+Inputs!B20),Inputs!B31/12,0)</f>
        <v>0</v>
      </c>
      <c r="H17" s="2">
        <f t="shared" si="1"/>
        <v>0</v>
      </c>
      <c r="I17" s="2">
        <f>IF(A17&gt;(Inputs!B19+Inputs!B20),Funding!B3/12,0)</f>
        <v>0</v>
      </c>
      <c r="J17" s="2">
        <f t="shared" si="2"/>
        <v>0</v>
      </c>
      <c r="K17" s="2">
        <f t="shared" si="3"/>
        <v>0</v>
      </c>
      <c r="L17" s="2"/>
    </row>
    <row r="18">
      <c r="A18" s="2">
        <v>16.0</v>
      </c>
      <c r="B18" s="2" t="str">
        <f>IF(A18&lt;=Inputs!B19,"Packaging / approvals",IF(A18&lt;=(Inputs!B19+Inputs!B20),"Construction","Operations"))</f>
        <v>Packaging / approvals</v>
      </c>
      <c r="C18" s="2">
        <f>IF(A18&lt;=Inputs!B19,Cost!B14/Inputs!B19,IF(A18&lt;=(Inputs!B19+Inputs!B20),Cost!B13/Inputs!B20,0))+IF(A18&lt;=(Inputs!B19+Inputs!B20),Inputs!B21,0)+IF(A18=(Inputs!B19+Inputs!B20),Cost!B15,0)</f>
        <v>112500</v>
      </c>
      <c r="D18" s="2">
        <f>IF(A18&gt;(Inputs!B19+Inputs!B20),Operations!B4/12*MIN(1,0.5+0.5*(A18-(Inputs!B19+Inputs!B20))/Inputs!B39),0)</f>
        <v>0</v>
      </c>
      <c r="E18" s="2">
        <f>IF(A18&gt;(Inputs!B19+Inputs!B20),D18*(Inputs!B25+Inputs!B27)+Inputs!B26/12,0)</f>
        <v>0</v>
      </c>
      <c r="F18" s="2">
        <f>IF(A18&gt;(Inputs!B19+Inputs!B20),Operations!B12/12*MIN(1,0.5+0.5*(A18-(Inputs!B19+Inputs!B20))/Inputs!B39),0)</f>
        <v>0</v>
      </c>
      <c r="G18" s="2">
        <f>IF(A18&gt;(Inputs!B19+Inputs!B20),Inputs!B31/12,0)</f>
        <v>0</v>
      </c>
      <c r="H18" s="2">
        <f t="shared" si="1"/>
        <v>0</v>
      </c>
      <c r="I18" s="2">
        <f>IF(A18&gt;(Inputs!B19+Inputs!B20),Funding!B3/12,0)</f>
        <v>0</v>
      </c>
      <c r="J18" s="2">
        <f t="shared" si="2"/>
        <v>0</v>
      </c>
      <c r="K18" s="2">
        <f t="shared" si="3"/>
        <v>0</v>
      </c>
      <c r="L18" s="2"/>
    </row>
    <row r="19">
      <c r="A19" s="2">
        <v>17.0</v>
      </c>
      <c r="B19" s="2" t="str">
        <f>IF(A19&lt;=Inputs!B19,"Packaging / approvals",IF(A19&lt;=(Inputs!B19+Inputs!B20),"Construction","Operations"))</f>
        <v>Packaging / approvals</v>
      </c>
      <c r="C19" s="2">
        <f>IF(A19&lt;=Inputs!B19,Cost!B14/Inputs!B19,IF(A19&lt;=(Inputs!B19+Inputs!B20),Cost!B13/Inputs!B20,0))+IF(A19&lt;=(Inputs!B19+Inputs!B20),Inputs!B21,0)+IF(A19=(Inputs!B19+Inputs!B20),Cost!B15,0)</f>
        <v>112500</v>
      </c>
      <c r="D19" s="2">
        <f>IF(A19&gt;(Inputs!B19+Inputs!B20),Operations!B4/12*MIN(1,0.5+0.5*(A19-(Inputs!B19+Inputs!B20))/Inputs!B39),0)</f>
        <v>0</v>
      </c>
      <c r="E19" s="2">
        <f>IF(A19&gt;(Inputs!B19+Inputs!B20),D19*(Inputs!B25+Inputs!B27)+Inputs!B26/12,0)</f>
        <v>0</v>
      </c>
      <c r="F19" s="2">
        <f>IF(A19&gt;(Inputs!B19+Inputs!B20),Operations!B12/12*MIN(1,0.5+0.5*(A19-(Inputs!B19+Inputs!B20))/Inputs!B39),0)</f>
        <v>0</v>
      </c>
      <c r="G19" s="2">
        <f>IF(A19&gt;(Inputs!B19+Inputs!B20),Inputs!B31/12,0)</f>
        <v>0</v>
      </c>
      <c r="H19" s="2">
        <f t="shared" si="1"/>
        <v>0</v>
      </c>
      <c r="I19" s="2">
        <f>IF(A19&gt;(Inputs!B19+Inputs!B20),Funding!B3/12,0)</f>
        <v>0</v>
      </c>
      <c r="J19" s="2">
        <f t="shared" si="2"/>
        <v>0</v>
      </c>
      <c r="K19" s="2">
        <f t="shared" si="3"/>
        <v>0</v>
      </c>
      <c r="L19" s="2"/>
    </row>
    <row r="20">
      <c r="A20" s="2">
        <v>18.0</v>
      </c>
      <c r="B20" s="2" t="str">
        <f>IF(A20&lt;=Inputs!B19,"Packaging / approvals",IF(A20&lt;=(Inputs!B19+Inputs!B20),"Construction","Operations"))</f>
        <v>Packaging / approvals</v>
      </c>
      <c r="C20" s="2">
        <f>IF(A20&lt;=Inputs!B19,Cost!B14/Inputs!B19,IF(A20&lt;=(Inputs!B19+Inputs!B20),Cost!B13/Inputs!B20,0))+IF(A20&lt;=(Inputs!B19+Inputs!B20),Inputs!B21,0)+IF(A20=(Inputs!B19+Inputs!B20),Cost!B15,0)</f>
        <v>112500</v>
      </c>
      <c r="D20" s="2">
        <f>IF(A20&gt;(Inputs!B19+Inputs!B20),Operations!B4/12*MIN(1,0.5+0.5*(A20-(Inputs!B19+Inputs!B20))/Inputs!B39),0)</f>
        <v>0</v>
      </c>
      <c r="E20" s="2">
        <f>IF(A20&gt;(Inputs!B19+Inputs!B20),D20*(Inputs!B25+Inputs!B27)+Inputs!B26/12,0)</f>
        <v>0</v>
      </c>
      <c r="F20" s="2">
        <f>IF(A20&gt;(Inputs!B19+Inputs!B20),Operations!B12/12*MIN(1,0.5+0.5*(A20-(Inputs!B19+Inputs!B20))/Inputs!B39),0)</f>
        <v>0</v>
      </c>
      <c r="G20" s="2">
        <f>IF(A20&gt;(Inputs!B19+Inputs!B20),Inputs!B31/12,0)</f>
        <v>0</v>
      </c>
      <c r="H20" s="2">
        <f t="shared" si="1"/>
        <v>0</v>
      </c>
      <c r="I20" s="2">
        <f>IF(A20&gt;(Inputs!B19+Inputs!B20),Funding!B3/12,0)</f>
        <v>0</v>
      </c>
      <c r="J20" s="2">
        <f t="shared" si="2"/>
        <v>0</v>
      </c>
      <c r="K20" s="2">
        <f t="shared" si="3"/>
        <v>0</v>
      </c>
      <c r="L20" s="2"/>
    </row>
    <row r="21">
      <c r="A21" s="2">
        <v>19.0</v>
      </c>
      <c r="B21" s="2" t="str">
        <f>IF(A21&lt;=Inputs!B19,"Packaging / approvals",IF(A21&lt;=(Inputs!B19+Inputs!B20),"Construction","Operations"))</f>
        <v>Packaging / approvals</v>
      </c>
      <c r="C21" s="2">
        <f>IF(A21&lt;=Inputs!B19,Cost!B14/Inputs!B19,IF(A21&lt;=(Inputs!B19+Inputs!B20),Cost!B13/Inputs!B20,0))+IF(A21&lt;=(Inputs!B19+Inputs!B20),Inputs!B21,0)+IF(A21=(Inputs!B19+Inputs!B20),Cost!B15,0)</f>
        <v>112500</v>
      </c>
      <c r="D21" s="2">
        <f>IF(A21&gt;(Inputs!B19+Inputs!B20),Operations!B4/12*MIN(1,0.5+0.5*(A21-(Inputs!B19+Inputs!B20))/Inputs!B39),0)</f>
        <v>0</v>
      </c>
      <c r="E21" s="2">
        <f>IF(A21&gt;(Inputs!B19+Inputs!B20),D21*(Inputs!B25+Inputs!B27)+Inputs!B26/12,0)</f>
        <v>0</v>
      </c>
      <c r="F21" s="2">
        <f>IF(A21&gt;(Inputs!B19+Inputs!B20),Operations!B12/12*MIN(1,0.5+0.5*(A21-(Inputs!B19+Inputs!B20))/Inputs!B39),0)</f>
        <v>0</v>
      </c>
      <c r="G21" s="2">
        <f>IF(A21&gt;(Inputs!B19+Inputs!B20),Inputs!B31/12,0)</f>
        <v>0</v>
      </c>
      <c r="H21" s="2">
        <f t="shared" si="1"/>
        <v>0</v>
      </c>
      <c r="I21" s="2">
        <f>IF(A21&gt;(Inputs!B19+Inputs!B20),Funding!B3/12,0)</f>
        <v>0</v>
      </c>
      <c r="J21" s="2">
        <f t="shared" si="2"/>
        <v>0</v>
      </c>
      <c r="K21" s="2">
        <f t="shared" si="3"/>
        <v>0</v>
      </c>
      <c r="L21" s="2"/>
    </row>
    <row r="22">
      <c r="A22" s="2">
        <v>20.0</v>
      </c>
      <c r="B22" s="2" t="str">
        <f>IF(A22&lt;=Inputs!B19,"Packaging / approvals",IF(A22&lt;=(Inputs!B19+Inputs!B20),"Construction","Operations"))</f>
        <v>Packaging / approvals</v>
      </c>
      <c r="C22" s="2">
        <f>IF(A22&lt;=Inputs!B19,Cost!B14/Inputs!B19,IF(A22&lt;=(Inputs!B19+Inputs!B20),Cost!B13/Inputs!B20,0))+IF(A22&lt;=(Inputs!B19+Inputs!B20),Inputs!B21,0)+IF(A22=(Inputs!B19+Inputs!B20),Cost!B15,0)</f>
        <v>112500</v>
      </c>
      <c r="D22" s="2">
        <f>IF(A22&gt;(Inputs!B19+Inputs!B20),Operations!B4/12*MIN(1,0.5+0.5*(A22-(Inputs!B19+Inputs!B20))/Inputs!B39),0)</f>
        <v>0</v>
      </c>
      <c r="E22" s="2">
        <f>IF(A22&gt;(Inputs!B19+Inputs!B20),D22*(Inputs!B25+Inputs!B27)+Inputs!B26/12,0)</f>
        <v>0</v>
      </c>
      <c r="F22" s="2">
        <f>IF(A22&gt;(Inputs!B19+Inputs!B20),Operations!B12/12*MIN(1,0.5+0.5*(A22-(Inputs!B19+Inputs!B20))/Inputs!B39),0)</f>
        <v>0</v>
      </c>
      <c r="G22" s="2">
        <f>IF(A22&gt;(Inputs!B19+Inputs!B20),Inputs!B31/12,0)</f>
        <v>0</v>
      </c>
      <c r="H22" s="2">
        <f t="shared" si="1"/>
        <v>0</v>
      </c>
      <c r="I22" s="2">
        <f>IF(A22&gt;(Inputs!B19+Inputs!B20),Funding!B3/12,0)</f>
        <v>0</v>
      </c>
      <c r="J22" s="2">
        <f t="shared" si="2"/>
        <v>0</v>
      </c>
      <c r="K22" s="2">
        <f t="shared" si="3"/>
        <v>0</v>
      </c>
      <c r="L22" s="2"/>
    </row>
    <row r="23">
      <c r="A23" s="2">
        <v>21.0</v>
      </c>
      <c r="B23" s="2" t="str">
        <f>IF(A23&lt;=Inputs!B19,"Packaging / approvals",IF(A23&lt;=(Inputs!B19+Inputs!B20),"Construction","Operations"))</f>
        <v>Packaging / approvals</v>
      </c>
      <c r="C23" s="2">
        <f>IF(A23&lt;=Inputs!B19,Cost!B14/Inputs!B19,IF(A23&lt;=(Inputs!B19+Inputs!B20),Cost!B13/Inputs!B20,0))+IF(A23&lt;=(Inputs!B19+Inputs!B20),Inputs!B21,0)+IF(A23=(Inputs!B19+Inputs!B20),Cost!B15,0)</f>
        <v>112500</v>
      </c>
      <c r="D23" s="2">
        <f>IF(A23&gt;(Inputs!B19+Inputs!B20),Operations!B4/12*MIN(1,0.5+0.5*(A23-(Inputs!B19+Inputs!B20))/Inputs!B39),0)</f>
        <v>0</v>
      </c>
      <c r="E23" s="2">
        <f>IF(A23&gt;(Inputs!B19+Inputs!B20),D23*(Inputs!B25+Inputs!B27)+Inputs!B26/12,0)</f>
        <v>0</v>
      </c>
      <c r="F23" s="2">
        <f>IF(A23&gt;(Inputs!B19+Inputs!B20),Operations!B12/12*MIN(1,0.5+0.5*(A23-(Inputs!B19+Inputs!B20))/Inputs!B39),0)</f>
        <v>0</v>
      </c>
      <c r="G23" s="2">
        <f>IF(A23&gt;(Inputs!B19+Inputs!B20),Inputs!B31/12,0)</f>
        <v>0</v>
      </c>
      <c r="H23" s="2">
        <f t="shared" si="1"/>
        <v>0</v>
      </c>
      <c r="I23" s="2">
        <f>IF(A23&gt;(Inputs!B19+Inputs!B20),Funding!B3/12,0)</f>
        <v>0</v>
      </c>
      <c r="J23" s="2">
        <f t="shared" si="2"/>
        <v>0</v>
      </c>
      <c r="K23" s="2">
        <f t="shared" si="3"/>
        <v>0</v>
      </c>
      <c r="L23" s="2"/>
    </row>
    <row r="24">
      <c r="A24" s="2">
        <v>22.0</v>
      </c>
      <c r="B24" s="2" t="str">
        <f>IF(A24&lt;=Inputs!B19,"Packaging / approvals",IF(A24&lt;=(Inputs!B19+Inputs!B20),"Construction","Operations"))</f>
        <v>Packaging / approvals</v>
      </c>
      <c r="C24" s="2">
        <f>IF(A24&lt;=Inputs!B19,Cost!B14/Inputs!B19,IF(A24&lt;=(Inputs!B19+Inputs!B20),Cost!B13/Inputs!B20,0))+IF(A24&lt;=(Inputs!B19+Inputs!B20),Inputs!B21,0)+IF(A24=(Inputs!B19+Inputs!B20),Cost!B15,0)</f>
        <v>112500</v>
      </c>
      <c r="D24" s="2">
        <f>IF(A24&gt;(Inputs!B19+Inputs!B20),Operations!B4/12*MIN(1,0.5+0.5*(A24-(Inputs!B19+Inputs!B20))/Inputs!B39),0)</f>
        <v>0</v>
      </c>
      <c r="E24" s="2">
        <f>IF(A24&gt;(Inputs!B19+Inputs!B20),D24*(Inputs!B25+Inputs!B27)+Inputs!B26/12,0)</f>
        <v>0</v>
      </c>
      <c r="F24" s="2">
        <f>IF(A24&gt;(Inputs!B19+Inputs!B20),Operations!B12/12*MIN(1,0.5+0.5*(A24-(Inputs!B19+Inputs!B20))/Inputs!B39),0)</f>
        <v>0</v>
      </c>
      <c r="G24" s="2">
        <f>IF(A24&gt;(Inputs!B19+Inputs!B20),Inputs!B31/12,0)</f>
        <v>0</v>
      </c>
      <c r="H24" s="2">
        <f t="shared" si="1"/>
        <v>0</v>
      </c>
      <c r="I24" s="2">
        <f>IF(A24&gt;(Inputs!B19+Inputs!B20),Funding!B3/12,0)</f>
        <v>0</v>
      </c>
      <c r="J24" s="2">
        <f t="shared" si="2"/>
        <v>0</v>
      </c>
      <c r="K24" s="2">
        <f t="shared" si="3"/>
        <v>0</v>
      </c>
      <c r="L24" s="2"/>
    </row>
    <row r="25">
      <c r="A25" s="2">
        <v>23.0</v>
      </c>
      <c r="B25" s="2" t="str">
        <f>IF(A25&lt;=Inputs!B19,"Packaging / approvals",IF(A25&lt;=(Inputs!B19+Inputs!B20),"Construction","Operations"))</f>
        <v>Packaging / approvals</v>
      </c>
      <c r="C25" s="2">
        <f>IF(A25&lt;=Inputs!B19,Cost!B14/Inputs!B19,IF(A25&lt;=(Inputs!B19+Inputs!B20),Cost!B13/Inputs!B20,0))+IF(A25&lt;=(Inputs!B19+Inputs!B20),Inputs!B21,0)+IF(A25=(Inputs!B19+Inputs!B20),Cost!B15,0)</f>
        <v>112500</v>
      </c>
      <c r="D25" s="2">
        <f>IF(A25&gt;(Inputs!B19+Inputs!B20),Operations!B4/12*MIN(1,0.5+0.5*(A25-(Inputs!B19+Inputs!B20))/Inputs!B39),0)</f>
        <v>0</v>
      </c>
      <c r="E25" s="2">
        <f>IF(A25&gt;(Inputs!B19+Inputs!B20),D25*(Inputs!B25+Inputs!B27)+Inputs!B26/12,0)</f>
        <v>0</v>
      </c>
      <c r="F25" s="2">
        <f>IF(A25&gt;(Inputs!B19+Inputs!B20),Operations!B12/12*MIN(1,0.5+0.5*(A25-(Inputs!B19+Inputs!B20))/Inputs!B39),0)</f>
        <v>0</v>
      </c>
      <c r="G25" s="2">
        <f>IF(A25&gt;(Inputs!B19+Inputs!B20),Inputs!B31/12,0)</f>
        <v>0</v>
      </c>
      <c r="H25" s="2">
        <f t="shared" si="1"/>
        <v>0</v>
      </c>
      <c r="I25" s="2">
        <f>IF(A25&gt;(Inputs!B19+Inputs!B20),Funding!B3/12,0)</f>
        <v>0</v>
      </c>
      <c r="J25" s="2">
        <f t="shared" si="2"/>
        <v>0</v>
      </c>
      <c r="K25" s="2">
        <f t="shared" si="3"/>
        <v>0</v>
      </c>
      <c r="L25" s="2"/>
    </row>
    <row r="26">
      <c r="A26" s="2">
        <v>24.0</v>
      </c>
      <c r="B26" s="2" t="str">
        <f>IF(A26&lt;=Inputs!B19,"Packaging / approvals",IF(A26&lt;=(Inputs!B19+Inputs!B20),"Construction","Operations"))</f>
        <v>Packaging / approvals</v>
      </c>
      <c r="C26" s="2">
        <f>IF(A26&lt;=Inputs!B19,Cost!B14/Inputs!B19,IF(A26&lt;=(Inputs!B19+Inputs!B20),Cost!B13/Inputs!B20,0))+IF(A26&lt;=(Inputs!B19+Inputs!B20),Inputs!B21,0)+IF(A26=(Inputs!B19+Inputs!B20),Cost!B15,0)</f>
        <v>112500</v>
      </c>
      <c r="D26" s="2">
        <f>IF(A26&gt;(Inputs!B19+Inputs!B20),Operations!B4/12*MIN(1,0.5+0.5*(A26-(Inputs!B19+Inputs!B20))/Inputs!B39),0)</f>
        <v>0</v>
      </c>
      <c r="E26" s="2">
        <f>IF(A26&gt;(Inputs!B19+Inputs!B20),D26*(Inputs!B25+Inputs!B27)+Inputs!B26/12,0)</f>
        <v>0</v>
      </c>
      <c r="F26" s="2">
        <f>IF(A26&gt;(Inputs!B19+Inputs!B20),Operations!B12/12*MIN(1,0.5+0.5*(A26-(Inputs!B19+Inputs!B20))/Inputs!B39),0)</f>
        <v>0</v>
      </c>
      <c r="G26" s="2">
        <f>IF(A26&gt;(Inputs!B19+Inputs!B20),Inputs!B31/12,0)</f>
        <v>0</v>
      </c>
      <c r="H26" s="2">
        <f t="shared" si="1"/>
        <v>0</v>
      </c>
      <c r="I26" s="2">
        <f>IF(A26&gt;(Inputs!B19+Inputs!B20),Funding!B3/12,0)</f>
        <v>0</v>
      </c>
      <c r="J26" s="2">
        <f t="shared" si="2"/>
        <v>0</v>
      </c>
      <c r="K26" s="2">
        <f t="shared" si="3"/>
        <v>0</v>
      </c>
      <c r="L26" s="2"/>
    </row>
    <row r="27">
      <c r="A27" s="2">
        <v>25.0</v>
      </c>
      <c r="B27" s="2" t="str">
        <f>IF(A27&lt;=Inputs!B19,"Packaging / approvals",IF(A27&lt;=(Inputs!B19+Inputs!B20),"Construction","Operations"))</f>
        <v>Construction</v>
      </c>
      <c r="C27" s="2">
        <f>IF(A27&lt;=Inputs!B19,Cost!B14/Inputs!B19,IF(A27&lt;=(Inputs!B19+Inputs!B20),Cost!B13/Inputs!B20,0))+IF(A27&lt;=(Inputs!B19+Inputs!B20),Inputs!B21,0)+IF(A27=(Inputs!B19+Inputs!B20),Cost!B15,0)</f>
        <v>8827094.572</v>
      </c>
      <c r="D27" s="2">
        <f>IF(A27&gt;(Inputs!B19+Inputs!B20),Operations!B4/12*MIN(1,0.5+0.5*(A27-(Inputs!B19+Inputs!B20))/Inputs!B39),0)</f>
        <v>0</v>
      </c>
      <c r="E27" s="2">
        <f>IF(A27&gt;(Inputs!B19+Inputs!B20),D27*(Inputs!B25+Inputs!B27)+Inputs!B26/12,0)</f>
        <v>0</v>
      </c>
      <c r="F27" s="2">
        <f>IF(A27&gt;(Inputs!B19+Inputs!B20),Operations!B12/12*MIN(1,0.5+0.5*(A27-(Inputs!B19+Inputs!B20))/Inputs!B39),0)</f>
        <v>0</v>
      </c>
      <c r="G27" s="2">
        <f>IF(A27&gt;(Inputs!B19+Inputs!B20),Inputs!B31/12,0)</f>
        <v>0</v>
      </c>
      <c r="H27" s="2">
        <f t="shared" si="1"/>
        <v>0</v>
      </c>
      <c r="I27" s="2">
        <f>IF(A27&gt;(Inputs!B19+Inputs!B20),Funding!B3/12,0)</f>
        <v>0</v>
      </c>
      <c r="J27" s="2">
        <f t="shared" si="2"/>
        <v>0</v>
      </c>
      <c r="K27" s="2">
        <f t="shared" si="3"/>
        <v>0</v>
      </c>
      <c r="L27" s="2"/>
    </row>
    <row r="28">
      <c r="A28" s="2">
        <v>26.0</v>
      </c>
      <c r="B28" s="2" t="str">
        <f>IF(A28&lt;=Inputs!B19,"Packaging / approvals",IF(A28&lt;=(Inputs!B19+Inputs!B20),"Construction","Operations"))</f>
        <v>Construction</v>
      </c>
      <c r="C28" s="2">
        <f>IF(A28&lt;=Inputs!B19,Cost!B14/Inputs!B19,IF(A28&lt;=(Inputs!B19+Inputs!B20),Cost!B13/Inputs!B20,0))+IF(A28&lt;=(Inputs!B19+Inputs!B20),Inputs!B21,0)+IF(A28=(Inputs!B19+Inputs!B20),Cost!B15,0)</f>
        <v>8827094.572</v>
      </c>
      <c r="D28" s="2">
        <f>IF(A28&gt;(Inputs!B19+Inputs!B20),Operations!B4/12*MIN(1,0.5+0.5*(A28-(Inputs!B19+Inputs!B20))/Inputs!B39),0)</f>
        <v>0</v>
      </c>
      <c r="E28" s="2">
        <f>IF(A28&gt;(Inputs!B19+Inputs!B20),D28*(Inputs!B25+Inputs!B27)+Inputs!B26/12,0)</f>
        <v>0</v>
      </c>
      <c r="F28" s="2">
        <f>IF(A28&gt;(Inputs!B19+Inputs!B20),Operations!B12/12*MIN(1,0.5+0.5*(A28-(Inputs!B19+Inputs!B20))/Inputs!B39),0)</f>
        <v>0</v>
      </c>
      <c r="G28" s="2">
        <f>IF(A28&gt;(Inputs!B19+Inputs!B20),Inputs!B31/12,0)</f>
        <v>0</v>
      </c>
      <c r="H28" s="2">
        <f t="shared" si="1"/>
        <v>0</v>
      </c>
      <c r="I28" s="2">
        <f>IF(A28&gt;(Inputs!B19+Inputs!B20),Funding!B3/12,0)</f>
        <v>0</v>
      </c>
      <c r="J28" s="2">
        <f t="shared" si="2"/>
        <v>0</v>
      </c>
      <c r="K28" s="2">
        <f t="shared" si="3"/>
        <v>0</v>
      </c>
      <c r="L28" s="2"/>
    </row>
    <row r="29">
      <c r="A29" s="2">
        <v>27.0</v>
      </c>
      <c r="B29" s="2" t="str">
        <f>IF(A29&lt;=Inputs!B19,"Packaging / approvals",IF(A29&lt;=(Inputs!B19+Inputs!B20),"Construction","Operations"))</f>
        <v>Construction</v>
      </c>
      <c r="C29" s="2">
        <f>IF(A29&lt;=Inputs!B19,Cost!B14/Inputs!B19,IF(A29&lt;=(Inputs!B19+Inputs!B20),Cost!B13/Inputs!B20,0))+IF(A29&lt;=(Inputs!B19+Inputs!B20),Inputs!B21,0)+IF(A29=(Inputs!B19+Inputs!B20),Cost!B15,0)</f>
        <v>8827094.572</v>
      </c>
      <c r="D29" s="2">
        <f>IF(A29&gt;(Inputs!B19+Inputs!B20),Operations!B4/12*MIN(1,0.5+0.5*(A29-(Inputs!B19+Inputs!B20))/Inputs!B39),0)</f>
        <v>0</v>
      </c>
      <c r="E29" s="2">
        <f>IF(A29&gt;(Inputs!B19+Inputs!B20),D29*(Inputs!B25+Inputs!B27)+Inputs!B26/12,0)</f>
        <v>0</v>
      </c>
      <c r="F29" s="2">
        <f>IF(A29&gt;(Inputs!B19+Inputs!B20),Operations!B12/12*MIN(1,0.5+0.5*(A29-(Inputs!B19+Inputs!B20))/Inputs!B39),0)</f>
        <v>0</v>
      </c>
      <c r="G29" s="2">
        <f>IF(A29&gt;(Inputs!B19+Inputs!B20),Inputs!B31/12,0)</f>
        <v>0</v>
      </c>
      <c r="H29" s="2">
        <f t="shared" si="1"/>
        <v>0</v>
      </c>
      <c r="I29" s="2">
        <f>IF(A29&gt;(Inputs!B19+Inputs!B20),Funding!B3/12,0)</f>
        <v>0</v>
      </c>
      <c r="J29" s="2">
        <f t="shared" si="2"/>
        <v>0</v>
      </c>
      <c r="K29" s="2">
        <f t="shared" si="3"/>
        <v>0</v>
      </c>
      <c r="L29" s="2"/>
    </row>
    <row r="30">
      <c r="A30" s="2">
        <v>28.0</v>
      </c>
      <c r="B30" s="2" t="str">
        <f>IF(A30&lt;=Inputs!B19,"Packaging / approvals",IF(A30&lt;=(Inputs!B19+Inputs!B20),"Construction","Operations"))</f>
        <v>Construction</v>
      </c>
      <c r="C30" s="2">
        <f>IF(A30&lt;=Inputs!B19,Cost!B14/Inputs!B19,IF(A30&lt;=(Inputs!B19+Inputs!B20),Cost!B13/Inputs!B20,0))+IF(A30&lt;=(Inputs!B19+Inputs!B20),Inputs!B21,0)+IF(A30=(Inputs!B19+Inputs!B20),Cost!B15,0)</f>
        <v>8827094.572</v>
      </c>
      <c r="D30" s="2">
        <f>IF(A30&gt;(Inputs!B19+Inputs!B20),Operations!B4/12*MIN(1,0.5+0.5*(A30-(Inputs!B19+Inputs!B20))/Inputs!B39),0)</f>
        <v>0</v>
      </c>
      <c r="E30" s="2">
        <f>IF(A30&gt;(Inputs!B19+Inputs!B20),D30*(Inputs!B25+Inputs!B27)+Inputs!B26/12,0)</f>
        <v>0</v>
      </c>
      <c r="F30" s="2">
        <f>IF(A30&gt;(Inputs!B19+Inputs!B20),Operations!B12/12*MIN(1,0.5+0.5*(A30-(Inputs!B19+Inputs!B20))/Inputs!B39),0)</f>
        <v>0</v>
      </c>
      <c r="G30" s="2">
        <f>IF(A30&gt;(Inputs!B19+Inputs!B20),Inputs!B31/12,0)</f>
        <v>0</v>
      </c>
      <c r="H30" s="2">
        <f t="shared" si="1"/>
        <v>0</v>
      </c>
      <c r="I30" s="2">
        <f>IF(A30&gt;(Inputs!B19+Inputs!B20),Funding!B3/12,0)</f>
        <v>0</v>
      </c>
      <c r="J30" s="2">
        <f t="shared" si="2"/>
        <v>0</v>
      </c>
      <c r="K30" s="2">
        <f t="shared" si="3"/>
        <v>0</v>
      </c>
      <c r="L30" s="2"/>
    </row>
    <row r="31">
      <c r="A31" s="2">
        <v>29.0</v>
      </c>
      <c r="B31" s="2" t="str">
        <f>IF(A31&lt;=Inputs!B19,"Packaging / approvals",IF(A31&lt;=(Inputs!B19+Inputs!B20),"Construction","Operations"))</f>
        <v>Construction</v>
      </c>
      <c r="C31" s="2">
        <f>IF(A31&lt;=Inputs!B19,Cost!B14/Inputs!B19,IF(A31&lt;=(Inputs!B19+Inputs!B20),Cost!B13/Inputs!B20,0))+IF(A31&lt;=(Inputs!B19+Inputs!B20),Inputs!B21,0)+IF(A31=(Inputs!B19+Inputs!B20),Cost!B15,0)</f>
        <v>8827094.572</v>
      </c>
      <c r="D31" s="2">
        <f>IF(A31&gt;(Inputs!B19+Inputs!B20),Operations!B4/12*MIN(1,0.5+0.5*(A31-(Inputs!B19+Inputs!B20))/Inputs!B39),0)</f>
        <v>0</v>
      </c>
      <c r="E31" s="2">
        <f>IF(A31&gt;(Inputs!B19+Inputs!B20),D31*(Inputs!B25+Inputs!B27)+Inputs!B26/12,0)</f>
        <v>0</v>
      </c>
      <c r="F31" s="2">
        <f>IF(A31&gt;(Inputs!B19+Inputs!B20),Operations!B12/12*MIN(1,0.5+0.5*(A31-(Inputs!B19+Inputs!B20))/Inputs!B39),0)</f>
        <v>0</v>
      </c>
      <c r="G31" s="2">
        <f>IF(A31&gt;(Inputs!B19+Inputs!B20),Inputs!B31/12,0)</f>
        <v>0</v>
      </c>
      <c r="H31" s="2">
        <f t="shared" si="1"/>
        <v>0</v>
      </c>
      <c r="I31" s="2">
        <f>IF(A31&gt;(Inputs!B19+Inputs!B20),Funding!B3/12,0)</f>
        <v>0</v>
      </c>
      <c r="J31" s="2">
        <f t="shared" si="2"/>
        <v>0</v>
      </c>
      <c r="K31" s="2">
        <f t="shared" si="3"/>
        <v>0</v>
      </c>
      <c r="L31" s="2"/>
    </row>
    <row r="32">
      <c r="A32" s="2">
        <v>30.0</v>
      </c>
      <c r="B32" s="2" t="str">
        <f>IF(A32&lt;=Inputs!B19,"Packaging / approvals",IF(A32&lt;=(Inputs!B19+Inputs!B20),"Construction","Operations"))</f>
        <v>Construction</v>
      </c>
      <c r="C32" s="2">
        <f>IF(A32&lt;=Inputs!B19,Cost!B14/Inputs!B19,IF(A32&lt;=(Inputs!B19+Inputs!B20),Cost!B13/Inputs!B20,0))+IF(A32&lt;=(Inputs!B19+Inputs!B20),Inputs!B21,0)+IF(A32=(Inputs!B19+Inputs!B20),Cost!B15,0)</f>
        <v>8827094.572</v>
      </c>
      <c r="D32" s="2">
        <f>IF(A32&gt;(Inputs!B19+Inputs!B20),Operations!B4/12*MIN(1,0.5+0.5*(A32-(Inputs!B19+Inputs!B20))/Inputs!B39),0)</f>
        <v>0</v>
      </c>
      <c r="E32" s="2">
        <f>IF(A32&gt;(Inputs!B19+Inputs!B20),D32*(Inputs!B25+Inputs!B27)+Inputs!B26/12,0)</f>
        <v>0</v>
      </c>
      <c r="F32" s="2">
        <f>IF(A32&gt;(Inputs!B19+Inputs!B20),Operations!B12/12*MIN(1,0.5+0.5*(A32-(Inputs!B19+Inputs!B20))/Inputs!B39),0)</f>
        <v>0</v>
      </c>
      <c r="G32" s="2">
        <f>IF(A32&gt;(Inputs!B19+Inputs!B20),Inputs!B31/12,0)</f>
        <v>0</v>
      </c>
      <c r="H32" s="2">
        <f t="shared" si="1"/>
        <v>0</v>
      </c>
      <c r="I32" s="2">
        <f>IF(A32&gt;(Inputs!B19+Inputs!B20),Funding!B3/12,0)</f>
        <v>0</v>
      </c>
      <c r="J32" s="2">
        <f t="shared" si="2"/>
        <v>0</v>
      </c>
      <c r="K32" s="2">
        <f t="shared" si="3"/>
        <v>0</v>
      </c>
      <c r="L32" s="2"/>
    </row>
    <row r="33">
      <c r="A33" s="2">
        <v>31.0</v>
      </c>
      <c r="B33" s="2" t="str">
        <f>IF(A33&lt;=Inputs!B19,"Packaging / approvals",IF(A33&lt;=(Inputs!B19+Inputs!B20),"Construction","Operations"))</f>
        <v>Construction</v>
      </c>
      <c r="C33" s="2">
        <f>IF(A33&lt;=Inputs!B19,Cost!B14/Inputs!B19,IF(A33&lt;=(Inputs!B19+Inputs!B20),Cost!B13/Inputs!B20,0))+IF(A33&lt;=(Inputs!B19+Inputs!B20),Inputs!B21,0)+IF(A33=(Inputs!B19+Inputs!B20),Cost!B15,0)</f>
        <v>8827094.572</v>
      </c>
      <c r="D33" s="2">
        <f>IF(A33&gt;(Inputs!B19+Inputs!B20),Operations!B4/12*MIN(1,0.5+0.5*(A33-(Inputs!B19+Inputs!B20))/Inputs!B39),0)</f>
        <v>0</v>
      </c>
      <c r="E33" s="2">
        <f>IF(A33&gt;(Inputs!B19+Inputs!B20),D33*(Inputs!B25+Inputs!B27)+Inputs!B26/12,0)</f>
        <v>0</v>
      </c>
      <c r="F33" s="2">
        <f>IF(A33&gt;(Inputs!B19+Inputs!B20),Operations!B12/12*MIN(1,0.5+0.5*(A33-(Inputs!B19+Inputs!B20))/Inputs!B39),0)</f>
        <v>0</v>
      </c>
      <c r="G33" s="2">
        <f>IF(A33&gt;(Inputs!B19+Inputs!B20),Inputs!B31/12,0)</f>
        <v>0</v>
      </c>
      <c r="H33" s="2">
        <f t="shared" si="1"/>
        <v>0</v>
      </c>
      <c r="I33" s="2">
        <f>IF(A33&gt;(Inputs!B19+Inputs!B20),Funding!B3/12,0)</f>
        <v>0</v>
      </c>
      <c r="J33" s="2">
        <f t="shared" si="2"/>
        <v>0</v>
      </c>
      <c r="K33" s="2">
        <f t="shared" si="3"/>
        <v>0</v>
      </c>
      <c r="L33" s="2"/>
    </row>
    <row r="34">
      <c r="A34" s="2">
        <v>32.0</v>
      </c>
      <c r="B34" s="2" t="str">
        <f>IF(A34&lt;=Inputs!B19,"Packaging / approvals",IF(A34&lt;=(Inputs!B19+Inputs!B20),"Construction","Operations"))</f>
        <v>Construction</v>
      </c>
      <c r="C34" s="2">
        <f>IF(A34&lt;=Inputs!B19,Cost!B14/Inputs!B19,IF(A34&lt;=(Inputs!B19+Inputs!B20),Cost!B13/Inputs!B20,0))+IF(A34&lt;=(Inputs!B19+Inputs!B20),Inputs!B21,0)+IF(A34=(Inputs!B19+Inputs!B20),Cost!B15,0)</f>
        <v>8827094.572</v>
      </c>
      <c r="D34" s="2">
        <f>IF(A34&gt;(Inputs!B19+Inputs!B20),Operations!B4/12*MIN(1,0.5+0.5*(A34-(Inputs!B19+Inputs!B20))/Inputs!B39),0)</f>
        <v>0</v>
      </c>
      <c r="E34" s="2">
        <f>IF(A34&gt;(Inputs!B19+Inputs!B20),D34*(Inputs!B25+Inputs!B27)+Inputs!B26/12,0)</f>
        <v>0</v>
      </c>
      <c r="F34" s="2">
        <f>IF(A34&gt;(Inputs!B19+Inputs!B20),Operations!B12/12*MIN(1,0.5+0.5*(A34-(Inputs!B19+Inputs!B20))/Inputs!B39),0)</f>
        <v>0</v>
      </c>
      <c r="G34" s="2">
        <f>IF(A34&gt;(Inputs!B19+Inputs!B20),Inputs!B31/12,0)</f>
        <v>0</v>
      </c>
      <c r="H34" s="2">
        <f t="shared" si="1"/>
        <v>0</v>
      </c>
      <c r="I34" s="2">
        <f>IF(A34&gt;(Inputs!B19+Inputs!B20),Funding!B3/12,0)</f>
        <v>0</v>
      </c>
      <c r="J34" s="2">
        <f t="shared" si="2"/>
        <v>0</v>
      </c>
      <c r="K34" s="2">
        <f t="shared" si="3"/>
        <v>0</v>
      </c>
      <c r="L34" s="2"/>
    </row>
    <row r="35">
      <c r="A35" s="2">
        <v>33.0</v>
      </c>
      <c r="B35" s="2" t="str">
        <f>IF(A35&lt;=Inputs!B19,"Packaging / approvals",IF(A35&lt;=(Inputs!B19+Inputs!B20),"Construction","Operations"))</f>
        <v>Construction</v>
      </c>
      <c r="C35" s="2">
        <f>IF(A35&lt;=Inputs!B19,Cost!B14/Inputs!B19,IF(A35&lt;=(Inputs!B19+Inputs!B20),Cost!B13/Inputs!B20,0))+IF(A35&lt;=(Inputs!B19+Inputs!B20),Inputs!B21,0)+IF(A35=(Inputs!B19+Inputs!B20),Cost!B15,0)</f>
        <v>8827094.572</v>
      </c>
      <c r="D35" s="2">
        <f>IF(A35&gt;(Inputs!B19+Inputs!B20),Operations!B4/12*MIN(1,0.5+0.5*(A35-(Inputs!B19+Inputs!B20))/Inputs!B39),0)</f>
        <v>0</v>
      </c>
      <c r="E35" s="2">
        <f>IF(A35&gt;(Inputs!B19+Inputs!B20),D35*(Inputs!B25+Inputs!B27)+Inputs!B26/12,0)</f>
        <v>0</v>
      </c>
      <c r="F35" s="2">
        <f>IF(A35&gt;(Inputs!B19+Inputs!B20),Operations!B12/12*MIN(1,0.5+0.5*(A35-(Inputs!B19+Inputs!B20))/Inputs!B39),0)</f>
        <v>0</v>
      </c>
      <c r="G35" s="2">
        <f>IF(A35&gt;(Inputs!B19+Inputs!B20),Inputs!B31/12,0)</f>
        <v>0</v>
      </c>
      <c r="H35" s="2">
        <f t="shared" si="1"/>
        <v>0</v>
      </c>
      <c r="I35" s="2">
        <f>IF(A35&gt;(Inputs!B19+Inputs!B20),Funding!B3/12,0)</f>
        <v>0</v>
      </c>
      <c r="J35" s="2">
        <f t="shared" si="2"/>
        <v>0</v>
      </c>
      <c r="K35" s="2">
        <f t="shared" si="3"/>
        <v>0</v>
      </c>
      <c r="L35" s="2"/>
    </row>
    <row r="36">
      <c r="A36" s="2">
        <v>34.0</v>
      </c>
      <c r="B36" s="2" t="str">
        <f>IF(A36&lt;=Inputs!B19,"Packaging / approvals",IF(A36&lt;=(Inputs!B19+Inputs!B20),"Construction","Operations"))</f>
        <v>Construction</v>
      </c>
      <c r="C36" s="2">
        <f>IF(A36&lt;=Inputs!B19,Cost!B14/Inputs!B19,IF(A36&lt;=(Inputs!B19+Inputs!B20),Cost!B13/Inputs!B20,0))+IF(A36&lt;=(Inputs!B19+Inputs!B20),Inputs!B21,0)+IF(A36=(Inputs!B19+Inputs!B20),Cost!B15,0)</f>
        <v>8827094.572</v>
      </c>
      <c r="D36" s="2">
        <f>IF(A36&gt;(Inputs!B19+Inputs!B20),Operations!B4/12*MIN(1,0.5+0.5*(A36-(Inputs!B19+Inputs!B20))/Inputs!B39),0)</f>
        <v>0</v>
      </c>
      <c r="E36" s="2">
        <f>IF(A36&gt;(Inputs!B19+Inputs!B20),D36*(Inputs!B25+Inputs!B27)+Inputs!B26/12,0)</f>
        <v>0</v>
      </c>
      <c r="F36" s="2">
        <f>IF(A36&gt;(Inputs!B19+Inputs!B20),Operations!B12/12*MIN(1,0.5+0.5*(A36-(Inputs!B19+Inputs!B20))/Inputs!B39),0)</f>
        <v>0</v>
      </c>
      <c r="G36" s="2">
        <f>IF(A36&gt;(Inputs!B19+Inputs!B20),Inputs!B31/12,0)</f>
        <v>0</v>
      </c>
      <c r="H36" s="2">
        <f t="shared" si="1"/>
        <v>0</v>
      </c>
      <c r="I36" s="2">
        <f>IF(A36&gt;(Inputs!B19+Inputs!B20),Funding!B3/12,0)</f>
        <v>0</v>
      </c>
      <c r="J36" s="2">
        <f t="shared" si="2"/>
        <v>0</v>
      </c>
      <c r="K36" s="2">
        <f t="shared" si="3"/>
        <v>0</v>
      </c>
      <c r="L36" s="2"/>
    </row>
    <row r="37">
      <c r="A37" s="2">
        <v>35.0</v>
      </c>
      <c r="B37" s="2" t="str">
        <f>IF(A37&lt;=Inputs!B19,"Packaging / approvals",IF(A37&lt;=(Inputs!B19+Inputs!B20),"Construction","Operations"))</f>
        <v>Construction</v>
      </c>
      <c r="C37" s="2">
        <f>IF(A37&lt;=Inputs!B19,Cost!B14/Inputs!B19,IF(A37&lt;=(Inputs!B19+Inputs!B20),Cost!B13/Inputs!B20,0))+IF(A37&lt;=(Inputs!B19+Inputs!B20),Inputs!B21,0)+IF(A37=(Inputs!B19+Inputs!B20),Cost!B15,0)</f>
        <v>8827094.572</v>
      </c>
      <c r="D37" s="2">
        <f>IF(A37&gt;(Inputs!B19+Inputs!B20),Operations!B4/12*MIN(1,0.5+0.5*(A37-(Inputs!B19+Inputs!B20))/Inputs!B39),0)</f>
        <v>0</v>
      </c>
      <c r="E37" s="2">
        <f>IF(A37&gt;(Inputs!B19+Inputs!B20),D37*(Inputs!B25+Inputs!B27)+Inputs!B26/12,0)</f>
        <v>0</v>
      </c>
      <c r="F37" s="2">
        <f>IF(A37&gt;(Inputs!B19+Inputs!B20),Operations!B12/12*MIN(1,0.5+0.5*(A37-(Inputs!B19+Inputs!B20))/Inputs!B39),0)</f>
        <v>0</v>
      </c>
      <c r="G37" s="2">
        <f>IF(A37&gt;(Inputs!B19+Inputs!B20),Inputs!B31/12,0)</f>
        <v>0</v>
      </c>
      <c r="H37" s="2">
        <f t="shared" si="1"/>
        <v>0</v>
      </c>
      <c r="I37" s="2">
        <f>IF(A37&gt;(Inputs!B19+Inputs!B20),Funding!B3/12,0)</f>
        <v>0</v>
      </c>
      <c r="J37" s="2">
        <f t="shared" si="2"/>
        <v>0</v>
      </c>
      <c r="K37" s="2">
        <f t="shared" si="3"/>
        <v>0</v>
      </c>
      <c r="L37" s="2"/>
    </row>
    <row r="38">
      <c r="A38" s="2">
        <v>36.0</v>
      </c>
      <c r="B38" s="2" t="str">
        <f>IF(A38&lt;=Inputs!B19,"Packaging / approvals",IF(A38&lt;=(Inputs!B19+Inputs!B20),"Construction","Operations"))</f>
        <v>Construction</v>
      </c>
      <c r="C38" s="2">
        <f>IF(A38&lt;=Inputs!B19,Cost!B14/Inputs!B19,IF(A38&lt;=(Inputs!B19+Inputs!B20),Cost!B13/Inputs!B20,0))+IF(A38&lt;=(Inputs!B19+Inputs!B20),Inputs!B21,0)+IF(A38=(Inputs!B19+Inputs!B20),Cost!B15,0)</f>
        <v>8827094.572</v>
      </c>
      <c r="D38" s="2">
        <f>IF(A38&gt;(Inputs!B19+Inputs!B20),Operations!B4/12*MIN(1,0.5+0.5*(A38-(Inputs!B19+Inputs!B20))/Inputs!B39),0)</f>
        <v>0</v>
      </c>
      <c r="E38" s="2">
        <f>IF(A38&gt;(Inputs!B19+Inputs!B20),D38*(Inputs!B25+Inputs!B27)+Inputs!B26/12,0)</f>
        <v>0</v>
      </c>
      <c r="F38" s="2">
        <f>IF(A38&gt;(Inputs!B19+Inputs!B20),Operations!B12/12*MIN(1,0.5+0.5*(A38-(Inputs!B19+Inputs!B20))/Inputs!B39),0)</f>
        <v>0</v>
      </c>
      <c r="G38" s="2">
        <f>IF(A38&gt;(Inputs!B19+Inputs!B20),Inputs!B31/12,0)</f>
        <v>0</v>
      </c>
      <c r="H38" s="2">
        <f t="shared" si="1"/>
        <v>0</v>
      </c>
      <c r="I38" s="2">
        <f>IF(A38&gt;(Inputs!B19+Inputs!B20),Funding!B3/12,0)</f>
        <v>0</v>
      </c>
      <c r="J38" s="2">
        <f t="shared" si="2"/>
        <v>0</v>
      </c>
      <c r="K38" s="2">
        <f t="shared" si="3"/>
        <v>0</v>
      </c>
      <c r="L38" s="2"/>
    </row>
    <row r="39">
      <c r="A39" s="2">
        <v>37.0</v>
      </c>
      <c r="B39" s="2" t="str">
        <f>IF(A39&lt;=Inputs!B19,"Packaging / approvals",IF(A39&lt;=(Inputs!B19+Inputs!B20),"Construction","Operations"))</f>
        <v>Construction</v>
      </c>
      <c r="C39" s="2">
        <f>IF(A39&lt;=Inputs!B19,Cost!B14/Inputs!B19,IF(A39&lt;=(Inputs!B19+Inputs!B20),Cost!B13/Inputs!B20,0))+IF(A39&lt;=(Inputs!B19+Inputs!B20),Inputs!B21,0)+IF(A39=(Inputs!B19+Inputs!B20),Cost!B15,0)</f>
        <v>8827094.572</v>
      </c>
      <c r="D39" s="2">
        <f>IF(A39&gt;(Inputs!B19+Inputs!B20),Operations!B4/12*MIN(1,0.5+0.5*(A39-(Inputs!B19+Inputs!B20))/Inputs!B39),0)</f>
        <v>0</v>
      </c>
      <c r="E39" s="2">
        <f>IF(A39&gt;(Inputs!B19+Inputs!B20),D39*(Inputs!B25+Inputs!B27)+Inputs!B26/12,0)</f>
        <v>0</v>
      </c>
      <c r="F39" s="2">
        <f>IF(A39&gt;(Inputs!B19+Inputs!B20),Operations!B12/12*MIN(1,0.5+0.5*(A39-(Inputs!B19+Inputs!B20))/Inputs!B39),0)</f>
        <v>0</v>
      </c>
      <c r="G39" s="2">
        <f>IF(A39&gt;(Inputs!B19+Inputs!B20),Inputs!B31/12,0)</f>
        <v>0</v>
      </c>
      <c r="H39" s="2">
        <f t="shared" si="1"/>
        <v>0</v>
      </c>
      <c r="I39" s="2">
        <f>IF(A39&gt;(Inputs!B19+Inputs!B20),Funding!B3/12,0)</f>
        <v>0</v>
      </c>
      <c r="J39" s="2">
        <f t="shared" si="2"/>
        <v>0</v>
      </c>
      <c r="K39" s="2">
        <f t="shared" si="3"/>
        <v>0</v>
      </c>
      <c r="L39" s="2"/>
    </row>
    <row r="40">
      <c r="A40" s="2">
        <v>38.0</v>
      </c>
      <c r="B40" s="2" t="str">
        <f>IF(A40&lt;=Inputs!B19,"Packaging / approvals",IF(A40&lt;=(Inputs!B19+Inputs!B20),"Construction","Operations"))</f>
        <v>Construction</v>
      </c>
      <c r="C40" s="2">
        <f>IF(A40&lt;=Inputs!B19,Cost!B14/Inputs!B19,IF(A40&lt;=(Inputs!B19+Inputs!B20),Cost!B13/Inputs!B20,0))+IF(A40&lt;=(Inputs!B19+Inputs!B20),Inputs!B21,0)+IF(A40=(Inputs!B19+Inputs!B20),Cost!B15,0)</f>
        <v>8827094.572</v>
      </c>
      <c r="D40" s="2">
        <f>IF(A40&gt;(Inputs!B19+Inputs!B20),Operations!B4/12*MIN(1,0.5+0.5*(A40-(Inputs!B19+Inputs!B20))/Inputs!B39),0)</f>
        <v>0</v>
      </c>
      <c r="E40" s="2">
        <f>IF(A40&gt;(Inputs!B19+Inputs!B20),D40*(Inputs!B25+Inputs!B27)+Inputs!B26/12,0)</f>
        <v>0</v>
      </c>
      <c r="F40" s="2">
        <f>IF(A40&gt;(Inputs!B19+Inputs!B20),Operations!B12/12*MIN(1,0.5+0.5*(A40-(Inputs!B19+Inputs!B20))/Inputs!B39),0)</f>
        <v>0</v>
      </c>
      <c r="G40" s="2">
        <f>IF(A40&gt;(Inputs!B19+Inputs!B20),Inputs!B31/12,0)</f>
        <v>0</v>
      </c>
      <c r="H40" s="2">
        <f t="shared" si="1"/>
        <v>0</v>
      </c>
      <c r="I40" s="2">
        <f>IF(A40&gt;(Inputs!B19+Inputs!B20),Funding!B3/12,0)</f>
        <v>0</v>
      </c>
      <c r="J40" s="2">
        <f t="shared" si="2"/>
        <v>0</v>
      </c>
      <c r="K40" s="2">
        <f t="shared" si="3"/>
        <v>0</v>
      </c>
      <c r="L40" s="2"/>
    </row>
    <row r="41">
      <c r="A41" s="2">
        <v>39.0</v>
      </c>
      <c r="B41" s="2" t="str">
        <f>IF(A41&lt;=Inputs!B19,"Packaging / approvals",IF(A41&lt;=(Inputs!B19+Inputs!B20),"Construction","Operations"))</f>
        <v>Construction</v>
      </c>
      <c r="C41" s="2">
        <f>IF(A41&lt;=Inputs!B19,Cost!B14/Inputs!B19,IF(A41&lt;=(Inputs!B19+Inputs!B20),Cost!B13/Inputs!B20,0))+IF(A41&lt;=(Inputs!B19+Inputs!B20),Inputs!B21,0)+IF(A41=(Inputs!B19+Inputs!B20),Cost!B15,0)</f>
        <v>8827094.572</v>
      </c>
      <c r="D41" s="2">
        <f>IF(A41&gt;(Inputs!B19+Inputs!B20),Operations!B4/12*MIN(1,0.5+0.5*(A41-(Inputs!B19+Inputs!B20))/Inputs!B39),0)</f>
        <v>0</v>
      </c>
      <c r="E41" s="2">
        <f>IF(A41&gt;(Inputs!B19+Inputs!B20),D41*(Inputs!B25+Inputs!B27)+Inputs!B26/12,0)</f>
        <v>0</v>
      </c>
      <c r="F41" s="2">
        <f>IF(A41&gt;(Inputs!B19+Inputs!B20),Operations!B12/12*MIN(1,0.5+0.5*(A41-(Inputs!B19+Inputs!B20))/Inputs!B39),0)</f>
        <v>0</v>
      </c>
      <c r="G41" s="2">
        <f>IF(A41&gt;(Inputs!B19+Inputs!B20),Inputs!B31/12,0)</f>
        <v>0</v>
      </c>
      <c r="H41" s="2">
        <f t="shared" si="1"/>
        <v>0</v>
      </c>
      <c r="I41" s="2">
        <f>IF(A41&gt;(Inputs!B19+Inputs!B20),Funding!B3/12,0)</f>
        <v>0</v>
      </c>
      <c r="J41" s="2">
        <f t="shared" si="2"/>
        <v>0</v>
      </c>
      <c r="K41" s="2">
        <f t="shared" si="3"/>
        <v>0</v>
      </c>
      <c r="L41" s="2"/>
    </row>
    <row r="42">
      <c r="A42" s="2">
        <v>40.0</v>
      </c>
      <c r="B42" s="2" t="str">
        <f>IF(A42&lt;=Inputs!B19,"Packaging / approvals",IF(A42&lt;=(Inputs!B19+Inputs!B20),"Construction","Operations"))</f>
        <v>Construction</v>
      </c>
      <c r="C42" s="2">
        <f>IF(A42&lt;=Inputs!B19,Cost!B14/Inputs!B19,IF(A42&lt;=(Inputs!B19+Inputs!B20),Cost!B13/Inputs!B20,0))+IF(A42&lt;=(Inputs!B19+Inputs!B20),Inputs!B21,0)+IF(A42=(Inputs!B19+Inputs!B20),Cost!B15,0)</f>
        <v>8827094.572</v>
      </c>
      <c r="D42" s="2">
        <f>IF(A42&gt;(Inputs!B19+Inputs!B20),Operations!B4/12*MIN(1,0.5+0.5*(A42-(Inputs!B19+Inputs!B20))/Inputs!B39),0)</f>
        <v>0</v>
      </c>
      <c r="E42" s="2">
        <f>IF(A42&gt;(Inputs!B19+Inputs!B20),D42*(Inputs!B25+Inputs!B27)+Inputs!B26/12,0)</f>
        <v>0</v>
      </c>
      <c r="F42" s="2">
        <f>IF(A42&gt;(Inputs!B19+Inputs!B20),Operations!B12/12*MIN(1,0.5+0.5*(A42-(Inputs!B19+Inputs!B20))/Inputs!B39),0)</f>
        <v>0</v>
      </c>
      <c r="G42" s="2">
        <f>IF(A42&gt;(Inputs!B19+Inputs!B20),Inputs!B31/12,0)</f>
        <v>0</v>
      </c>
      <c r="H42" s="2">
        <f t="shared" si="1"/>
        <v>0</v>
      </c>
      <c r="I42" s="2">
        <f>IF(A42&gt;(Inputs!B19+Inputs!B20),Funding!B3/12,0)</f>
        <v>0</v>
      </c>
      <c r="J42" s="2">
        <f t="shared" si="2"/>
        <v>0</v>
      </c>
      <c r="K42" s="2">
        <f t="shared" si="3"/>
        <v>0</v>
      </c>
      <c r="L42" s="2"/>
    </row>
    <row r="43">
      <c r="A43" s="2">
        <v>41.0</v>
      </c>
      <c r="B43" s="2" t="str">
        <f>IF(A43&lt;=Inputs!B19,"Packaging / approvals",IF(A43&lt;=(Inputs!B19+Inputs!B20),"Construction","Operations"))</f>
        <v>Construction</v>
      </c>
      <c r="C43" s="2">
        <f>IF(A43&lt;=Inputs!B19,Cost!B14/Inputs!B19,IF(A43&lt;=(Inputs!B19+Inputs!B20),Cost!B13/Inputs!B20,0))+IF(A43&lt;=(Inputs!B19+Inputs!B20),Inputs!B21,0)+IF(A43=(Inputs!B19+Inputs!B20),Cost!B15,0)</f>
        <v>8827094.572</v>
      </c>
      <c r="D43" s="2">
        <f>IF(A43&gt;(Inputs!B19+Inputs!B20),Operations!B4/12*MIN(1,0.5+0.5*(A43-(Inputs!B19+Inputs!B20))/Inputs!B39),0)</f>
        <v>0</v>
      </c>
      <c r="E43" s="2">
        <f>IF(A43&gt;(Inputs!B19+Inputs!B20),D43*(Inputs!B25+Inputs!B27)+Inputs!B26/12,0)</f>
        <v>0</v>
      </c>
      <c r="F43" s="2">
        <f>IF(A43&gt;(Inputs!B19+Inputs!B20),Operations!B12/12*MIN(1,0.5+0.5*(A43-(Inputs!B19+Inputs!B20))/Inputs!B39),0)</f>
        <v>0</v>
      </c>
      <c r="G43" s="2">
        <f>IF(A43&gt;(Inputs!B19+Inputs!B20),Inputs!B31/12,0)</f>
        <v>0</v>
      </c>
      <c r="H43" s="2">
        <f t="shared" si="1"/>
        <v>0</v>
      </c>
      <c r="I43" s="2">
        <f>IF(A43&gt;(Inputs!B19+Inputs!B20),Funding!B3/12,0)</f>
        <v>0</v>
      </c>
      <c r="J43" s="2">
        <f t="shared" si="2"/>
        <v>0</v>
      </c>
      <c r="K43" s="2">
        <f t="shared" si="3"/>
        <v>0</v>
      </c>
      <c r="L43" s="2"/>
    </row>
    <row r="44">
      <c r="A44" s="2">
        <v>42.0</v>
      </c>
      <c r="B44" s="2" t="str">
        <f>IF(A44&lt;=Inputs!B19,"Packaging / approvals",IF(A44&lt;=(Inputs!B19+Inputs!B20),"Construction","Operations"))</f>
        <v>Construction</v>
      </c>
      <c r="C44" s="4">
        <f>IF(A44&lt;=Inputs!B19,Cost!B14/Inputs!B19,IF(A44&lt;=(Inputs!B19+Inputs!B20),Cost!B13/Inputs!B20,0))+IF(A44&lt;=(Inputs!B19+Inputs!B20),Inputs!B21,0)+IF(A44=(Inputs!B19+Inputs!B20),Cost!B15,0)</f>
        <v>10827094.57</v>
      </c>
      <c r="D44" s="2">
        <f>IF(A44&gt;(Inputs!B19+Inputs!B20),Operations!B4/12*MIN(1,0.5+0.5*(A44-(Inputs!B19+Inputs!B20))/Inputs!B39),0)</f>
        <v>0</v>
      </c>
      <c r="E44" s="2">
        <f>IF(A44&gt;(Inputs!B19+Inputs!B20),D44*(Inputs!B25+Inputs!B27)+Inputs!B26/12,0)</f>
        <v>0</v>
      </c>
      <c r="F44" s="2">
        <f>IF(A44&gt;(Inputs!B19+Inputs!B20),Operations!B12/12*MIN(1,0.5+0.5*(A44-(Inputs!B19+Inputs!B20))/Inputs!B39),0)</f>
        <v>0</v>
      </c>
      <c r="G44" s="2">
        <f>IF(A44&gt;(Inputs!B19+Inputs!B20),Inputs!B31/12,0)</f>
        <v>0</v>
      </c>
      <c r="H44" s="2">
        <f t="shared" si="1"/>
        <v>0</v>
      </c>
      <c r="I44" s="2">
        <f>IF(A44&gt;(Inputs!B19+Inputs!B20),Funding!B3/12,0)</f>
        <v>0</v>
      </c>
      <c r="J44" s="2">
        <f t="shared" si="2"/>
        <v>0</v>
      </c>
      <c r="K44" s="2">
        <f t="shared" si="3"/>
        <v>0</v>
      </c>
      <c r="L44" s="2"/>
    </row>
    <row r="45">
      <c r="A45" s="2">
        <v>43.0</v>
      </c>
      <c r="B45" s="2" t="str">
        <f>IF(A45&lt;=Inputs!B19,"Packaging / approvals",IF(A45&lt;=(Inputs!B19+Inputs!B20),"Construction","Operations"))</f>
        <v>Operations</v>
      </c>
      <c r="C45" s="2">
        <f>IF(A45&lt;=Inputs!B19,Cost!B14/Inputs!B19,IF(A45&lt;=(Inputs!B19+Inputs!B20),Cost!B13/Inputs!B20,0))+IF(A45&lt;=(Inputs!B19+Inputs!B20),Inputs!B21,0)+IF(A45=(Inputs!B19+Inputs!B20),Cost!B15,0)</f>
        <v>0</v>
      </c>
      <c r="D45" s="2">
        <f>IF(A45&gt;(Inputs!B19+Inputs!B20),Operations!B4/12*MIN(1,0.5+0.5*(A45-(Inputs!B19+Inputs!B20))/Inputs!B39),0)</f>
        <v>533812.5</v>
      </c>
      <c r="E45" s="2">
        <f>IF(A45&gt;(Inputs!B19+Inputs!B20),D45*(Inputs!B25+Inputs!B27)+Inputs!B26/12,0)</f>
        <v>541520.2083</v>
      </c>
      <c r="F45" s="2">
        <f>IF(A45&gt;(Inputs!B19+Inputs!B20),Operations!B12/12*MIN(1,0.5+0.5*(A45-(Inputs!B19+Inputs!B20))/Inputs!B39),0)</f>
        <v>34531.25</v>
      </c>
      <c r="G45" s="2">
        <f>IF(A45&gt;(Inputs!B19+Inputs!B20),Inputs!B31/12,0)</f>
        <v>50000</v>
      </c>
      <c r="H45" s="2">
        <f t="shared" si="1"/>
        <v>-23176.45833</v>
      </c>
      <c r="I45" s="2">
        <f>IF(A45&gt;(Inputs!B19+Inputs!B20),Funding!B3/12,0)</f>
        <v>1146608.921</v>
      </c>
      <c r="J45" s="2">
        <f t="shared" si="2"/>
        <v>-23176.45833</v>
      </c>
      <c r="K45" s="2">
        <f t="shared" si="3"/>
        <v>-1169785.379</v>
      </c>
      <c r="L45" s="2"/>
    </row>
    <row r="46">
      <c r="A46" s="2">
        <v>44.0</v>
      </c>
      <c r="B46" s="2" t="str">
        <f>IF(A46&lt;=Inputs!B19,"Packaging / approvals",IF(A46&lt;=(Inputs!B19+Inputs!B20),"Construction","Operations"))</f>
        <v>Operations</v>
      </c>
      <c r="C46" s="2">
        <f>IF(A46&lt;=Inputs!B19,Cost!B14/Inputs!B19,IF(A46&lt;=(Inputs!B19+Inputs!B20),Cost!B13/Inputs!B20,0))+IF(A46&lt;=(Inputs!B19+Inputs!B20),Inputs!B21,0)+IF(A46=(Inputs!B19+Inputs!B20),Cost!B15,0)</f>
        <v>0</v>
      </c>
      <c r="D46" s="2">
        <f>IF(A46&gt;(Inputs!B19+Inputs!B20),Operations!B4/12*MIN(1,0.5+0.5*(A46-(Inputs!B19+Inputs!B20))/Inputs!B39),0)</f>
        <v>574875</v>
      </c>
      <c r="E46" s="2">
        <f>IF(A46&gt;(Inputs!B19+Inputs!B20),D46*(Inputs!B25+Inputs!B27)+Inputs!B26/12,0)</f>
        <v>557534.5833</v>
      </c>
      <c r="F46" s="2">
        <f>IF(A46&gt;(Inputs!B19+Inputs!B20),Operations!B12/12*MIN(1,0.5+0.5*(A46-(Inputs!B19+Inputs!B20))/Inputs!B39),0)</f>
        <v>37187.5</v>
      </c>
      <c r="G46" s="2">
        <f>IF(A46&gt;(Inputs!B19+Inputs!B20),Inputs!B31/12,0)</f>
        <v>50000</v>
      </c>
      <c r="H46" s="2">
        <f t="shared" si="1"/>
        <v>4527.916667</v>
      </c>
      <c r="I46" s="2">
        <f>IF(A46&gt;(Inputs!B19+Inputs!B20),Funding!B3/12,0)</f>
        <v>1146608.921</v>
      </c>
      <c r="J46" s="2">
        <f t="shared" si="2"/>
        <v>-18648.54167</v>
      </c>
      <c r="K46" s="2">
        <f t="shared" si="3"/>
        <v>-2311866.384</v>
      </c>
      <c r="L46" s="2"/>
    </row>
    <row r="47">
      <c r="A47" s="2">
        <v>45.0</v>
      </c>
      <c r="B47" s="2" t="str">
        <f>IF(A47&lt;=Inputs!B19,"Packaging / approvals",IF(A47&lt;=(Inputs!B19+Inputs!B20),"Construction","Operations"))</f>
        <v>Operations</v>
      </c>
      <c r="C47" s="2">
        <f>IF(A47&lt;=Inputs!B19,Cost!B14/Inputs!B19,IF(A47&lt;=(Inputs!B19+Inputs!B20),Cost!B13/Inputs!B20,0))+IF(A47&lt;=(Inputs!B19+Inputs!B20),Inputs!B21,0)+IF(A47=(Inputs!B19+Inputs!B20),Cost!B15,0)</f>
        <v>0</v>
      </c>
      <c r="D47" s="2">
        <f>IF(A47&gt;(Inputs!B19+Inputs!B20),Operations!B4/12*MIN(1,0.5+0.5*(A47-(Inputs!B19+Inputs!B20))/Inputs!B39),0)</f>
        <v>615937.5</v>
      </c>
      <c r="E47" s="2">
        <f>IF(A47&gt;(Inputs!B19+Inputs!B20),D47*(Inputs!B25+Inputs!B27)+Inputs!B26/12,0)</f>
        <v>573548.9583</v>
      </c>
      <c r="F47" s="2">
        <f>IF(A47&gt;(Inputs!B19+Inputs!B20),Operations!B12/12*MIN(1,0.5+0.5*(A47-(Inputs!B19+Inputs!B20))/Inputs!B39),0)</f>
        <v>39843.75</v>
      </c>
      <c r="G47" s="2">
        <f>IF(A47&gt;(Inputs!B19+Inputs!B20),Inputs!B31/12,0)</f>
        <v>50000</v>
      </c>
      <c r="H47" s="2">
        <f t="shared" si="1"/>
        <v>32232.29167</v>
      </c>
      <c r="I47" s="2">
        <f>IF(A47&gt;(Inputs!B19+Inputs!B20),Funding!B3/12,0)</f>
        <v>1146608.921</v>
      </c>
      <c r="J47" s="2">
        <f t="shared" si="2"/>
        <v>13583.75</v>
      </c>
      <c r="K47" s="2">
        <f t="shared" si="3"/>
        <v>-3426243.013</v>
      </c>
      <c r="L47" s="2"/>
    </row>
    <row r="48">
      <c r="A48" s="2">
        <v>46.0</v>
      </c>
      <c r="B48" s="2" t="str">
        <f>IF(A48&lt;=Inputs!B19,"Packaging / approvals",IF(A48&lt;=(Inputs!B19+Inputs!B20),"Construction","Operations"))</f>
        <v>Operations</v>
      </c>
      <c r="C48" s="2">
        <f>IF(A48&lt;=Inputs!B19,Cost!B14/Inputs!B19,IF(A48&lt;=(Inputs!B19+Inputs!B20),Cost!B13/Inputs!B20,0))+IF(A48&lt;=(Inputs!B19+Inputs!B20),Inputs!B21,0)+IF(A48=(Inputs!B19+Inputs!B20),Cost!B15,0)</f>
        <v>0</v>
      </c>
      <c r="D48" s="2">
        <f>IF(A48&gt;(Inputs!B19+Inputs!B20),Operations!B4/12*MIN(1,0.5+0.5*(A48-(Inputs!B19+Inputs!B20))/Inputs!B39),0)</f>
        <v>657000</v>
      </c>
      <c r="E48" s="2">
        <f>IF(A48&gt;(Inputs!B19+Inputs!B20),D48*(Inputs!B25+Inputs!B27)+Inputs!B26/12,0)</f>
        <v>589563.3333</v>
      </c>
      <c r="F48" s="2">
        <f>IF(A48&gt;(Inputs!B19+Inputs!B20),Operations!B12/12*MIN(1,0.5+0.5*(A48-(Inputs!B19+Inputs!B20))/Inputs!B39),0)</f>
        <v>42500</v>
      </c>
      <c r="G48" s="2">
        <f>IF(A48&gt;(Inputs!B19+Inputs!B20),Inputs!B31/12,0)</f>
        <v>50000</v>
      </c>
      <c r="H48" s="2">
        <f t="shared" si="1"/>
        <v>59936.66667</v>
      </c>
      <c r="I48" s="2">
        <f>IF(A48&gt;(Inputs!B19+Inputs!B20),Funding!B3/12,0)</f>
        <v>1146608.921</v>
      </c>
      <c r="J48" s="2">
        <f t="shared" si="2"/>
        <v>73520.41667</v>
      </c>
      <c r="K48" s="2">
        <f t="shared" si="3"/>
        <v>-4512915.268</v>
      </c>
      <c r="L48" s="2"/>
    </row>
    <row r="49">
      <c r="A49" s="2">
        <v>47.0</v>
      </c>
      <c r="B49" s="2" t="str">
        <f>IF(A49&lt;=Inputs!B19,"Packaging / approvals",IF(A49&lt;=(Inputs!B19+Inputs!B20),"Construction","Operations"))</f>
        <v>Operations</v>
      </c>
      <c r="C49" s="2">
        <f>IF(A49&lt;=Inputs!B19,Cost!B14/Inputs!B19,IF(A49&lt;=(Inputs!B19+Inputs!B20),Cost!B13/Inputs!B20,0))+IF(A49&lt;=(Inputs!B19+Inputs!B20),Inputs!B21,0)+IF(A49=(Inputs!B19+Inputs!B20),Cost!B15,0)</f>
        <v>0</v>
      </c>
      <c r="D49" s="2">
        <f>IF(A49&gt;(Inputs!B19+Inputs!B20),Operations!B4/12*MIN(1,0.5+0.5*(A49-(Inputs!B19+Inputs!B20))/Inputs!B39),0)</f>
        <v>698062.5</v>
      </c>
      <c r="E49" s="2">
        <f>IF(A49&gt;(Inputs!B19+Inputs!B20),D49*(Inputs!B25+Inputs!B27)+Inputs!B26/12,0)</f>
        <v>605577.7083</v>
      </c>
      <c r="F49" s="2">
        <f>IF(A49&gt;(Inputs!B19+Inputs!B20),Operations!B12/12*MIN(1,0.5+0.5*(A49-(Inputs!B19+Inputs!B20))/Inputs!B39),0)</f>
        <v>45156.25</v>
      </c>
      <c r="G49" s="2">
        <f>IF(A49&gt;(Inputs!B19+Inputs!B20),Inputs!B31/12,0)</f>
        <v>50000</v>
      </c>
      <c r="H49" s="2">
        <f t="shared" si="1"/>
        <v>87641.04167</v>
      </c>
      <c r="I49" s="2">
        <f>IF(A49&gt;(Inputs!B19+Inputs!B20),Funding!B3/12,0)</f>
        <v>1146608.921</v>
      </c>
      <c r="J49" s="2">
        <f t="shared" si="2"/>
        <v>161161.4583</v>
      </c>
      <c r="K49" s="2">
        <f t="shared" si="3"/>
        <v>-5571883.147</v>
      </c>
      <c r="L49" s="2"/>
    </row>
    <row r="50">
      <c r="A50" s="2">
        <v>48.0</v>
      </c>
      <c r="B50" s="2" t="str">
        <f>IF(A50&lt;=Inputs!B19,"Packaging / approvals",IF(A50&lt;=(Inputs!B19+Inputs!B20),"Construction","Operations"))</f>
        <v>Operations</v>
      </c>
      <c r="C50" s="2">
        <f>IF(A50&lt;=Inputs!B19,Cost!B14/Inputs!B19,IF(A50&lt;=(Inputs!B19+Inputs!B20),Cost!B13/Inputs!B20,0))+IF(A50&lt;=(Inputs!B19+Inputs!B20),Inputs!B21,0)+IF(A50=(Inputs!B19+Inputs!B20),Cost!B15,0)</f>
        <v>0</v>
      </c>
      <c r="D50" s="2">
        <f>IF(A50&gt;(Inputs!B19+Inputs!B20),Operations!B4/12*MIN(1,0.5+0.5*(A50-(Inputs!B19+Inputs!B20))/Inputs!B39),0)</f>
        <v>739125</v>
      </c>
      <c r="E50" s="2">
        <f>IF(A50&gt;(Inputs!B19+Inputs!B20),D50*(Inputs!B25+Inputs!B27)+Inputs!B26/12,0)</f>
        <v>621592.0833</v>
      </c>
      <c r="F50" s="2">
        <f>IF(A50&gt;(Inputs!B19+Inputs!B20),Operations!B12/12*MIN(1,0.5+0.5*(A50-(Inputs!B19+Inputs!B20))/Inputs!B39),0)</f>
        <v>47812.5</v>
      </c>
      <c r="G50" s="2">
        <f>IF(A50&gt;(Inputs!B19+Inputs!B20),Inputs!B31/12,0)</f>
        <v>50000</v>
      </c>
      <c r="H50" s="2">
        <f t="shared" si="1"/>
        <v>115345.4167</v>
      </c>
      <c r="I50" s="2">
        <f>IF(A50&gt;(Inputs!B19+Inputs!B20),Funding!B3/12,0)</f>
        <v>1146608.921</v>
      </c>
      <c r="J50" s="2">
        <f t="shared" si="2"/>
        <v>276506.875</v>
      </c>
      <c r="K50" s="2">
        <f t="shared" si="3"/>
        <v>-6603146.652</v>
      </c>
      <c r="L50" s="2"/>
    </row>
    <row r="51">
      <c r="A51" s="2">
        <v>49.0</v>
      </c>
      <c r="B51" s="2" t="str">
        <f>IF(A51&lt;=Inputs!B19,"Packaging / approvals",IF(A51&lt;=(Inputs!B19+Inputs!B20),"Construction","Operations"))</f>
        <v>Operations</v>
      </c>
      <c r="C51" s="2">
        <f>IF(A51&lt;=Inputs!B19,Cost!B14/Inputs!B19,IF(A51&lt;=(Inputs!B19+Inputs!B20),Cost!B13/Inputs!B20,0))+IF(A51&lt;=(Inputs!B19+Inputs!B20),Inputs!B21,0)+IF(A51=(Inputs!B19+Inputs!B20),Cost!B15,0)</f>
        <v>0</v>
      </c>
      <c r="D51" s="2">
        <f>IF(A51&gt;(Inputs!B19+Inputs!B20),Operations!B4/12*MIN(1,0.5+0.5*(A51-(Inputs!B19+Inputs!B20))/Inputs!B39),0)</f>
        <v>780187.5</v>
      </c>
      <c r="E51" s="2">
        <f>IF(A51&gt;(Inputs!B19+Inputs!B20),D51*(Inputs!B25+Inputs!B27)+Inputs!B26/12,0)</f>
        <v>637606.4583</v>
      </c>
      <c r="F51" s="2">
        <f>IF(A51&gt;(Inputs!B19+Inputs!B20),Operations!B12/12*MIN(1,0.5+0.5*(A51-(Inputs!B19+Inputs!B20))/Inputs!B39),0)</f>
        <v>50468.75</v>
      </c>
      <c r="G51" s="2">
        <f>IF(A51&gt;(Inputs!B19+Inputs!B20),Inputs!B31/12,0)</f>
        <v>50000</v>
      </c>
      <c r="H51" s="2">
        <f t="shared" si="1"/>
        <v>143049.7917</v>
      </c>
      <c r="I51" s="2">
        <f>IF(A51&gt;(Inputs!B19+Inputs!B20),Funding!B3/12,0)</f>
        <v>1146608.921</v>
      </c>
      <c r="J51" s="2">
        <f t="shared" si="2"/>
        <v>419556.6667</v>
      </c>
      <c r="K51" s="2">
        <f t="shared" si="3"/>
        <v>-7606705.781</v>
      </c>
      <c r="L51" s="2"/>
    </row>
    <row r="52">
      <c r="A52" s="2">
        <v>50.0</v>
      </c>
      <c r="B52" s="2" t="str">
        <f>IF(A52&lt;=Inputs!B19,"Packaging / approvals",IF(A52&lt;=(Inputs!B19+Inputs!B20),"Construction","Operations"))</f>
        <v>Operations</v>
      </c>
      <c r="C52" s="2">
        <f>IF(A52&lt;=Inputs!B19,Cost!B14/Inputs!B19,IF(A52&lt;=(Inputs!B19+Inputs!B20),Cost!B13/Inputs!B20,0))+IF(A52&lt;=(Inputs!B19+Inputs!B20),Inputs!B21,0)+IF(A52=(Inputs!B19+Inputs!B20),Cost!B15,0)</f>
        <v>0</v>
      </c>
      <c r="D52" s="2">
        <f>IF(A52&gt;(Inputs!B19+Inputs!B20),Operations!B4/12*MIN(1,0.5+0.5*(A52-(Inputs!B19+Inputs!B20))/Inputs!B39),0)</f>
        <v>821250</v>
      </c>
      <c r="E52" s="2">
        <f>IF(A52&gt;(Inputs!B19+Inputs!B20),D52*(Inputs!B25+Inputs!B27)+Inputs!B26/12,0)</f>
        <v>653620.8333</v>
      </c>
      <c r="F52" s="2">
        <f>IF(A52&gt;(Inputs!B19+Inputs!B20),Operations!B12/12*MIN(1,0.5+0.5*(A52-(Inputs!B19+Inputs!B20))/Inputs!B39),0)</f>
        <v>53125</v>
      </c>
      <c r="G52" s="2">
        <f>IF(A52&gt;(Inputs!B19+Inputs!B20),Inputs!B31/12,0)</f>
        <v>50000</v>
      </c>
      <c r="H52" s="2">
        <f t="shared" si="1"/>
        <v>170754.1667</v>
      </c>
      <c r="I52" s="2">
        <f>IF(A52&gt;(Inputs!B19+Inputs!B20),Funding!B3/12,0)</f>
        <v>1146608.921</v>
      </c>
      <c r="J52" s="2">
        <f t="shared" si="2"/>
        <v>590310.8333</v>
      </c>
      <c r="K52" s="2">
        <f t="shared" si="3"/>
        <v>-8582560.535</v>
      </c>
      <c r="L52" s="2"/>
    </row>
    <row r="53">
      <c r="A53" s="2">
        <v>51.0</v>
      </c>
      <c r="B53" s="2" t="str">
        <f>IF(A53&lt;=Inputs!B19,"Packaging / approvals",IF(A53&lt;=(Inputs!B19+Inputs!B20),"Construction","Operations"))</f>
        <v>Operations</v>
      </c>
      <c r="C53" s="2">
        <f>IF(A53&lt;=Inputs!B19,Cost!B14/Inputs!B19,IF(A53&lt;=(Inputs!B19+Inputs!B20),Cost!B13/Inputs!B20,0))+IF(A53&lt;=(Inputs!B19+Inputs!B20),Inputs!B21,0)+IF(A53=(Inputs!B19+Inputs!B20),Cost!B15,0)</f>
        <v>0</v>
      </c>
      <c r="D53" s="2">
        <f>IF(A53&gt;(Inputs!B19+Inputs!B20),Operations!B4/12*MIN(1,0.5+0.5*(A53-(Inputs!B19+Inputs!B20))/Inputs!B39),0)</f>
        <v>862312.5</v>
      </c>
      <c r="E53" s="2">
        <f>IF(A53&gt;(Inputs!B19+Inputs!B20),D53*(Inputs!B25+Inputs!B27)+Inputs!B26/12,0)</f>
        <v>669635.2083</v>
      </c>
      <c r="F53" s="2">
        <f>IF(A53&gt;(Inputs!B19+Inputs!B20),Operations!B12/12*MIN(1,0.5+0.5*(A53-(Inputs!B19+Inputs!B20))/Inputs!B39),0)</f>
        <v>55781.25</v>
      </c>
      <c r="G53" s="2">
        <f>IF(A53&gt;(Inputs!B19+Inputs!B20),Inputs!B31/12,0)</f>
        <v>50000</v>
      </c>
      <c r="H53" s="2">
        <f t="shared" si="1"/>
        <v>198458.5417</v>
      </c>
      <c r="I53" s="2">
        <f>IF(A53&gt;(Inputs!B19+Inputs!B20),Funding!B3/12,0)</f>
        <v>1146608.921</v>
      </c>
      <c r="J53" s="2">
        <f t="shared" si="2"/>
        <v>788769.375</v>
      </c>
      <c r="K53" s="2">
        <f t="shared" si="3"/>
        <v>-9530710.915</v>
      </c>
      <c r="L53" s="2"/>
    </row>
    <row r="54">
      <c r="A54" s="2">
        <v>52.0</v>
      </c>
      <c r="B54" s="2" t="str">
        <f>IF(A54&lt;=Inputs!B19,"Packaging / approvals",IF(A54&lt;=(Inputs!B19+Inputs!B20),"Construction","Operations"))</f>
        <v>Operations</v>
      </c>
      <c r="C54" s="2">
        <f>IF(A54&lt;=Inputs!B19,Cost!B14/Inputs!B19,IF(A54&lt;=(Inputs!B19+Inputs!B20),Cost!B13/Inputs!B20,0))+IF(A54&lt;=(Inputs!B19+Inputs!B20),Inputs!B21,0)+IF(A54=(Inputs!B19+Inputs!B20),Cost!B15,0)</f>
        <v>0</v>
      </c>
      <c r="D54" s="2">
        <f>IF(A54&gt;(Inputs!B19+Inputs!B20),Operations!B4/12*MIN(1,0.5+0.5*(A54-(Inputs!B19+Inputs!B20))/Inputs!B39),0)</f>
        <v>903375</v>
      </c>
      <c r="E54" s="2">
        <f>IF(A54&gt;(Inputs!B19+Inputs!B20),D54*(Inputs!B25+Inputs!B27)+Inputs!B26/12,0)</f>
        <v>685649.5833</v>
      </c>
      <c r="F54" s="2">
        <f>IF(A54&gt;(Inputs!B19+Inputs!B20),Operations!B12/12*MIN(1,0.5+0.5*(A54-(Inputs!B19+Inputs!B20))/Inputs!B39),0)</f>
        <v>58437.5</v>
      </c>
      <c r="G54" s="2">
        <f>IF(A54&gt;(Inputs!B19+Inputs!B20),Inputs!B31/12,0)</f>
        <v>50000</v>
      </c>
      <c r="H54" s="2">
        <f t="shared" si="1"/>
        <v>226162.9167</v>
      </c>
      <c r="I54" s="2">
        <f>IF(A54&gt;(Inputs!B19+Inputs!B20),Funding!B3/12,0)</f>
        <v>1146608.921</v>
      </c>
      <c r="J54" s="2">
        <f t="shared" si="2"/>
        <v>1014932.292</v>
      </c>
      <c r="K54" s="2">
        <f t="shared" si="3"/>
        <v>-10451156.92</v>
      </c>
      <c r="L54" s="2"/>
    </row>
    <row r="55">
      <c r="A55" s="2">
        <v>53.0</v>
      </c>
      <c r="B55" s="2" t="str">
        <f>IF(A55&lt;=Inputs!B19,"Packaging / approvals",IF(A55&lt;=(Inputs!B19+Inputs!B20),"Construction","Operations"))</f>
        <v>Operations</v>
      </c>
      <c r="C55" s="2">
        <f>IF(A55&lt;=Inputs!B19,Cost!B14/Inputs!B19,IF(A55&lt;=(Inputs!B19+Inputs!B20),Cost!B13/Inputs!B20,0))+IF(A55&lt;=(Inputs!B19+Inputs!B20),Inputs!B21,0)+IF(A55=(Inputs!B19+Inputs!B20),Cost!B15,0)</f>
        <v>0</v>
      </c>
      <c r="D55" s="2">
        <f>IF(A55&gt;(Inputs!B19+Inputs!B20),Operations!B4/12*MIN(1,0.5+0.5*(A55-(Inputs!B19+Inputs!B20))/Inputs!B39),0)</f>
        <v>944437.5</v>
      </c>
      <c r="E55" s="2">
        <f>IF(A55&gt;(Inputs!B19+Inputs!B20),D55*(Inputs!B25+Inputs!B27)+Inputs!B26/12,0)</f>
        <v>701663.9583</v>
      </c>
      <c r="F55" s="2">
        <f>IF(A55&gt;(Inputs!B19+Inputs!B20),Operations!B12/12*MIN(1,0.5+0.5*(A55-(Inputs!B19+Inputs!B20))/Inputs!B39),0)</f>
        <v>61093.75</v>
      </c>
      <c r="G55" s="2">
        <f>IF(A55&gt;(Inputs!B19+Inputs!B20),Inputs!B31/12,0)</f>
        <v>50000</v>
      </c>
      <c r="H55" s="2">
        <f t="shared" si="1"/>
        <v>253867.2917</v>
      </c>
      <c r="I55" s="2">
        <f>IF(A55&gt;(Inputs!B19+Inputs!B20),Funding!B3/12,0)</f>
        <v>1146608.921</v>
      </c>
      <c r="J55" s="2">
        <f t="shared" si="2"/>
        <v>1268799.583</v>
      </c>
      <c r="K55" s="2">
        <f t="shared" si="3"/>
        <v>-11343898.55</v>
      </c>
      <c r="L55" s="2"/>
    </row>
    <row r="56">
      <c r="A56" s="2">
        <v>54.0</v>
      </c>
      <c r="B56" s="2" t="str">
        <f>IF(A56&lt;=Inputs!B19,"Packaging / approvals",IF(A56&lt;=(Inputs!B19+Inputs!B20),"Construction","Operations"))</f>
        <v>Operations</v>
      </c>
      <c r="C56" s="2">
        <f>IF(A56&lt;=Inputs!B19,Cost!B14/Inputs!B19,IF(A56&lt;=(Inputs!B19+Inputs!B20),Cost!B13/Inputs!B20,0))+IF(A56&lt;=(Inputs!B19+Inputs!B20),Inputs!B21,0)+IF(A56=(Inputs!B19+Inputs!B20),Cost!B15,0)</f>
        <v>0</v>
      </c>
      <c r="D56" s="2">
        <f>IF(A56&gt;(Inputs!B19+Inputs!B20),Operations!B4/12*MIN(1,0.5+0.5*(A56-(Inputs!B19+Inputs!B20))/Inputs!B39),0)</f>
        <v>985500</v>
      </c>
      <c r="E56" s="2">
        <f>IF(A56&gt;(Inputs!B19+Inputs!B20),D56*(Inputs!B25+Inputs!B27)+Inputs!B26/12,0)</f>
        <v>717678.3333</v>
      </c>
      <c r="F56" s="2">
        <f>IF(A56&gt;(Inputs!B19+Inputs!B20),Operations!B12/12*MIN(1,0.5+0.5*(A56-(Inputs!B19+Inputs!B20))/Inputs!B39),0)</f>
        <v>63750</v>
      </c>
      <c r="G56" s="2">
        <f>IF(A56&gt;(Inputs!B19+Inputs!B20),Inputs!B31/12,0)</f>
        <v>50000</v>
      </c>
      <c r="H56" s="2">
        <f t="shared" si="1"/>
        <v>281571.6667</v>
      </c>
      <c r="I56" s="2">
        <f>IF(A56&gt;(Inputs!B19+Inputs!B20),Funding!B3/12,0)</f>
        <v>1146608.921</v>
      </c>
      <c r="J56" s="2">
        <f t="shared" si="2"/>
        <v>1550371.25</v>
      </c>
      <c r="K56" s="2">
        <f t="shared" si="3"/>
        <v>-12208935.8</v>
      </c>
      <c r="L56" s="2"/>
    </row>
    <row r="57">
      <c r="A57" s="2">
        <v>55.0</v>
      </c>
      <c r="B57" s="2" t="str">
        <f>IF(A57&lt;=Inputs!B19,"Packaging / approvals",IF(A57&lt;=(Inputs!B19+Inputs!B20),"Construction","Operations"))</f>
        <v>Operations</v>
      </c>
      <c r="C57" s="2">
        <f>IF(A57&lt;=Inputs!B19,Cost!B14/Inputs!B19,IF(A57&lt;=(Inputs!B19+Inputs!B20),Cost!B13/Inputs!B20,0))+IF(A57&lt;=(Inputs!B19+Inputs!B20),Inputs!B21,0)+IF(A57=(Inputs!B19+Inputs!B20),Cost!B15,0)</f>
        <v>0</v>
      </c>
      <c r="D57" s="2">
        <f>IF(A57&gt;(Inputs!B19+Inputs!B20),Operations!B4/12*MIN(1,0.5+0.5*(A57-(Inputs!B19+Inputs!B20))/Inputs!B39),0)</f>
        <v>985500</v>
      </c>
      <c r="E57" s="2">
        <f>IF(A57&gt;(Inputs!B19+Inputs!B20),D57*(Inputs!B25+Inputs!B27)+Inputs!B26/12,0)</f>
        <v>717678.3333</v>
      </c>
      <c r="F57" s="2">
        <f>IF(A57&gt;(Inputs!B19+Inputs!B20),Operations!B12/12*MIN(1,0.5+0.5*(A57-(Inputs!B19+Inputs!B20))/Inputs!B39),0)</f>
        <v>63750</v>
      </c>
      <c r="G57" s="2">
        <f>IF(A57&gt;(Inputs!B19+Inputs!B20),Inputs!B31/12,0)</f>
        <v>50000</v>
      </c>
      <c r="H57" s="2">
        <f t="shared" si="1"/>
        <v>281571.6667</v>
      </c>
      <c r="I57" s="2">
        <f>IF(A57&gt;(Inputs!B19+Inputs!B20),Funding!B3/12,0)</f>
        <v>1146608.921</v>
      </c>
      <c r="J57" s="2">
        <f t="shared" si="2"/>
        <v>1831942.917</v>
      </c>
      <c r="K57" s="2">
        <f t="shared" si="3"/>
        <v>-13073973.06</v>
      </c>
      <c r="L57" s="2"/>
    </row>
    <row r="58">
      <c r="A58" s="2">
        <v>56.0</v>
      </c>
      <c r="B58" s="2" t="str">
        <f>IF(A58&lt;=Inputs!B19,"Packaging / approvals",IF(A58&lt;=(Inputs!B19+Inputs!B20),"Construction","Operations"))</f>
        <v>Operations</v>
      </c>
      <c r="C58" s="2">
        <f>IF(A58&lt;=Inputs!B19,Cost!B14/Inputs!B19,IF(A58&lt;=(Inputs!B19+Inputs!B20),Cost!B13/Inputs!B20,0))+IF(A58&lt;=(Inputs!B19+Inputs!B20),Inputs!B21,0)+IF(A58=(Inputs!B19+Inputs!B20),Cost!B15,0)</f>
        <v>0</v>
      </c>
      <c r="D58" s="2">
        <f>IF(A58&gt;(Inputs!B19+Inputs!B20),Operations!B4/12*MIN(1,0.5+0.5*(A58-(Inputs!B19+Inputs!B20))/Inputs!B39),0)</f>
        <v>985500</v>
      </c>
      <c r="E58" s="2">
        <f>IF(A58&gt;(Inputs!B19+Inputs!B20),D58*(Inputs!B25+Inputs!B27)+Inputs!B26/12,0)</f>
        <v>717678.3333</v>
      </c>
      <c r="F58" s="2">
        <f>IF(A58&gt;(Inputs!B19+Inputs!B20),Operations!B12/12*MIN(1,0.5+0.5*(A58-(Inputs!B19+Inputs!B20))/Inputs!B39),0)</f>
        <v>63750</v>
      </c>
      <c r="G58" s="2">
        <f>IF(A58&gt;(Inputs!B19+Inputs!B20),Inputs!B31/12,0)</f>
        <v>50000</v>
      </c>
      <c r="H58" s="2">
        <f t="shared" si="1"/>
        <v>281571.6667</v>
      </c>
      <c r="I58" s="2">
        <f>IF(A58&gt;(Inputs!B19+Inputs!B20),Funding!B3/12,0)</f>
        <v>1146608.921</v>
      </c>
      <c r="J58" s="2">
        <f t="shared" si="2"/>
        <v>2113514.583</v>
      </c>
      <c r="K58" s="2">
        <f t="shared" si="3"/>
        <v>-13939010.31</v>
      </c>
      <c r="L58" s="2"/>
    </row>
    <row r="59">
      <c r="A59" s="2">
        <v>57.0</v>
      </c>
      <c r="B59" s="2" t="str">
        <f>IF(A59&lt;=Inputs!B19,"Packaging / approvals",IF(A59&lt;=(Inputs!B19+Inputs!B20),"Construction","Operations"))</f>
        <v>Operations</v>
      </c>
      <c r="C59" s="2">
        <f>IF(A59&lt;=Inputs!B19,Cost!B14/Inputs!B19,IF(A59&lt;=(Inputs!B19+Inputs!B20),Cost!B13/Inputs!B20,0))+IF(A59&lt;=(Inputs!B19+Inputs!B20),Inputs!B21,0)+IF(A59=(Inputs!B19+Inputs!B20),Cost!B15,0)</f>
        <v>0</v>
      </c>
      <c r="D59" s="2">
        <f>IF(A59&gt;(Inputs!B19+Inputs!B20),Operations!B4/12*MIN(1,0.5+0.5*(A59-(Inputs!B19+Inputs!B20))/Inputs!B39),0)</f>
        <v>985500</v>
      </c>
      <c r="E59" s="2">
        <f>IF(A59&gt;(Inputs!B19+Inputs!B20),D59*(Inputs!B25+Inputs!B27)+Inputs!B26/12,0)</f>
        <v>717678.3333</v>
      </c>
      <c r="F59" s="2">
        <f>IF(A59&gt;(Inputs!B19+Inputs!B20),Operations!B12/12*MIN(1,0.5+0.5*(A59-(Inputs!B19+Inputs!B20))/Inputs!B39),0)</f>
        <v>63750</v>
      </c>
      <c r="G59" s="2">
        <f>IF(A59&gt;(Inputs!B19+Inputs!B20),Inputs!B31/12,0)</f>
        <v>50000</v>
      </c>
      <c r="H59" s="2">
        <f t="shared" si="1"/>
        <v>281571.6667</v>
      </c>
      <c r="I59" s="2">
        <f>IF(A59&gt;(Inputs!B19+Inputs!B20),Funding!B3/12,0)</f>
        <v>1146608.921</v>
      </c>
      <c r="J59" s="2">
        <f t="shared" si="2"/>
        <v>2395086.25</v>
      </c>
      <c r="K59" s="2">
        <f t="shared" si="3"/>
        <v>-14804047.57</v>
      </c>
      <c r="L59" s="2"/>
    </row>
    <row r="60">
      <c r="A60" s="2">
        <v>58.0</v>
      </c>
      <c r="B60" s="2" t="str">
        <f>IF(A60&lt;=Inputs!B19,"Packaging / approvals",IF(A60&lt;=(Inputs!B19+Inputs!B20),"Construction","Operations"))</f>
        <v>Operations</v>
      </c>
      <c r="C60" s="2">
        <f>IF(A60&lt;=Inputs!B19,Cost!B14/Inputs!B19,IF(A60&lt;=(Inputs!B19+Inputs!B20),Cost!B13/Inputs!B20,0))+IF(A60&lt;=(Inputs!B19+Inputs!B20),Inputs!B21,0)+IF(A60=(Inputs!B19+Inputs!B20),Cost!B15,0)</f>
        <v>0</v>
      </c>
      <c r="D60" s="2">
        <f>IF(A60&gt;(Inputs!B19+Inputs!B20),Operations!B4/12*MIN(1,0.5+0.5*(A60-(Inputs!B19+Inputs!B20))/Inputs!B39),0)</f>
        <v>985500</v>
      </c>
      <c r="E60" s="2">
        <f>IF(A60&gt;(Inputs!B19+Inputs!B20),D60*(Inputs!B25+Inputs!B27)+Inputs!B26/12,0)</f>
        <v>717678.3333</v>
      </c>
      <c r="F60" s="2">
        <f>IF(A60&gt;(Inputs!B19+Inputs!B20),Operations!B12/12*MIN(1,0.5+0.5*(A60-(Inputs!B19+Inputs!B20))/Inputs!B39),0)</f>
        <v>63750</v>
      </c>
      <c r="G60" s="2">
        <f>IF(A60&gt;(Inputs!B19+Inputs!B20),Inputs!B31/12,0)</f>
        <v>50000</v>
      </c>
      <c r="H60" s="2">
        <f t="shared" si="1"/>
        <v>281571.6667</v>
      </c>
      <c r="I60" s="2">
        <f>IF(A60&gt;(Inputs!B19+Inputs!B20),Funding!B3/12,0)</f>
        <v>1146608.921</v>
      </c>
      <c r="J60" s="2">
        <f t="shared" si="2"/>
        <v>2676657.917</v>
      </c>
      <c r="K60" s="2">
        <f t="shared" si="3"/>
        <v>-15669084.82</v>
      </c>
      <c r="L60" s="2"/>
    </row>
    <row r="61">
      <c r="A61" s="2">
        <v>59.0</v>
      </c>
      <c r="B61" s="2" t="str">
        <f>IF(A61&lt;=Inputs!B19,"Packaging / approvals",IF(A61&lt;=(Inputs!B19+Inputs!B20),"Construction","Operations"))</f>
        <v>Operations</v>
      </c>
      <c r="C61" s="2">
        <f>IF(A61&lt;=Inputs!B19,Cost!B14/Inputs!B19,IF(A61&lt;=(Inputs!B19+Inputs!B20),Cost!B13/Inputs!B20,0))+IF(A61&lt;=(Inputs!B19+Inputs!B20),Inputs!B21,0)+IF(A61=(Inputs!B19+Inputs!B20),Cost!B15,0)</f>
        <v>0</v>
      </c>
      <c r="D61" s="2">
        <f>IF(A61&gt;(Inputs!B19+Inputs!B20),Operations!B4/12*MIN(1,0.5+0.5*(A61-(Inputs!B19+Inputs!B20))/Inputs!B39),0)</f>
        <v>985500</v>
      </c>
      <c r="E61" s="2">
        <f>IF(A61&gt;(Inputs!B19+Inputs!B20),D61*(Inputs!B25+Inputs!B27)+Inputs!B26/12,0)</f>
        <v>717678.3333</v>
      </c>
      <c r="F61" s="2">
        <f>IF(A61&gt;(Inputs!B19+Inputs!B20),Operations!B12/12*MIN(1,0.5+0.5*(A61-(Inputs!B19+Inputs!B20))/Inputs!B39),0)</f>
        <v>63750</v>
      </c>
      <c r="G61" s="2">
        <f>IF(A61&gt;(Inputs!B19+Inputs!B20),Inputs!B31/12,0)</f>
        <v>50000</v>
      </c>
      <c r="H61" s="2">
        <f t="shared" si="1"/>
        <v>281571.6667</v>
      </c>
      <c r="I61" s="2">
        <f>IF(A61&gt;(Inputs!B19+Inputs!B20),Funding!B3/12,0)</f>
        <v>1146608.921</v>
      </c>
      <c r="J61" s="2">
        <f t="shared" si="2"/>
        <v>2958229.583</v>
      </c>
      <c r="K61" s="2">
        <f t="shared" si="3"/>
        <v>-16534122.08</v>
      </c>
      <c r="L61" s="2"/>
    </row>
    <row r="62">
      <c r="A62" s="2">
        <v>60.0</v>
      </c>
      <c r="B62" s="2" t="str">
        <f>IF(A62&lt;=Inputs!B19,"Packaging / approvals",IF(A62&lt;=(Inputs!B19+Inputs!B20),"Construction","Operations"))</f>
        <v>Operations</v>
      </c>
      <c r="C62" s="2">
        <f>IF(A62&lt;=Inputs!B19,Cost!B14/Inputs!B19,IF(A62&lt;=(Inputs!B19+Inputs!B20),Cost!B13/Inputs!B20,0))+IF(A62&lt;=(Inputs!B19+Inputs!B20),Inputs!B21,0)+IF(A62=(Inputs!B19+Inputs!B20),Cost!B15,0)</f>
        <v>0</v>
      </c>
      <c r="D62" s="2">
        <f>IF(A62&gt;(Inputs!B19+Inputs!B20),Operations!B4/12*MIN(1,0.5+0.5*(A62-(Inputs!B19+Inputs!B20))/Inputs!B39),0)</f>
        <v>985500</v>
      </c>
      <c r="E62" s="2">
        <f>IF(A62&gt;(Inputs!B19+Inputs!B20),D62*(Inputs!B25+Inputs!B27)+Inputs!B26/12,0)</f>
        <v>717678.3333</v>
      </c>
      <c r="F62" s="2">
        <f>IF(A62&gt;(Inputs!B19+Inputs!B20),Operations!B12/12*MIN(1,0.5+0.5*(A62-(Inputs!B19+Inputs!B20))/Inputs!B39),0)</f>
        <v>63750</v>
      </c>
      <c r="G62" s="2">
        <f>IF(A62&gt;(Inputs!B19+Inputs!B20),Inputs!B31/12,0)</f>
        <v>50000</v>
      </c>
      <c r="H62" s="2">
        <f t="shared" si="1"/>
        <v>281571.6667</v>
      </c>
      <c r="I62" s="2">
        <f>IF(A62&gt;(Inputs!B19+Inputs!B20),Funding!B3/12,0)</f>
        <v>1146608.921</v>
      </c>
      <c r="J62" s="2">
        <f t="shared" si="2"/>
        <v>3239801.25</v>
      </c>
      <c r="K62" s="2">
        <f t="shared" si="3"/>
        <v>-17399159.33</v>
      </c>
      <c r="L62" s="2"/>
    </row>
    <row r="63">
      <c r="A63" s="2">
        <v>61.0</v>
      </c>
      <c r="B63" s="2" t="str">
        <f>IF(A63&lt;=Inputs!B19,"Packaging / approvals",IF(A63&lt;=(Inputs!B19+Inputs!B20),"Construction","Operations"))</f>
        <v>Operations</v>
      </c>
      <c r="C63" s="2">
        <f>IF(A63&lt;=Inputs!B19,Cost!B14/Inputs!B19,IF(A63&lt;=(Inputs!B19+Inputs!B20),Cost!B13/Inputs!B20,0))+IF(A63&lt;=(Inputs!B19+Inputs!B20),Inputs!B21,0)+IF(A63=(Inputs!B19+Inputs!B20),Cost!B15,0)</f>
        <v>0</v>
      </c>
      <c r="D63" s="2">
        <f>IF(A63&gt;(Inputs!B19+Inputs!B20),Operations!B4/12*MIN(1,0.5+0.5*(A63-(Inputs!B19+Inputs!B20))/Inputs!B39),0)</f>
        <v>985500</v>
      </c>
      <c r="E63" s="2">
        <f>IF(A63&gt;(Inputs!B19+Inputs!B20),D63*(Inputs!B25+Inputs!B27)+Inputs!B26/12,0)</f>
        <v>717678.3333</v>
      </c>
      <c r="F63" s="2">
        <f>IF(A63&gt;(Inputs!B19+Inputs!B20),Operations!B12/12*MIN(1,0.5+0.5*(A63-(Inputs!B19+Inputs!B20))/Inputs!B39),0)</f>
        <v>63750</v>
      </c>
      <c r="G63" s="2">
        <f>IF(A63&gt;(Inputs!B19+Inputs!B20),Inputs!B31/12,0)</f>
        <v>50000</v>
      </c>
      <c r="H63" s="2">
        <f t="shared" si="1"/>
        <v>281571.6667</v>
      </c>
      <c r="I63" s="2">
        <f>IF(A63&gt;(Inputs!B19+Inputs!B20),Funding!B3/12,0)</f>
        <v>1146608.921</v>
      </c>
      <c r="J63" s="2">
        <f t="shared" si="2"/>
        <v>3521372.917</v>
      </c>
      <c r="K63" s="2">
        <f t="shared" si="3"/>
        <v>-18264196.58</v>
      </c>
      <c r="L63" s="2"/>
    </row>
    <row r="64">
      <c r="A64" s="2">
        <v>62.0</v>
      </c>
      <c r="B64" s="2" t="str">
        <f>IF(A64&lt;=Inputs!B19,"Packaging / approvals",IF(A64&lt;=(Inputs!B19+Inputs!B20),"Construction","Operations"))</f>
        <v>Operations</v>
      </c>
      <c r="C64" s="2">
        <f>IF(A64&lt;=Inputs!B19,Cost!B14/Inputs!B19,IF(A64&lt;=(Inputs!B19+Inputs!B20),Cost!B13/Inputs!B20,0))+IF(A64&lt;=(Inputs!B19+Inputs!B20),Inputs!B21,0)+IF(A64=(Inputs!B19+Inputs!B20),Cost!B15,0)</f>
        <v>0</v>
      </c>
      <c r="D64" s="2">
        <f>IF(A64&gt;(Inputs!B19+Inputs!B20),Operations!B4/12*MIN(1,0.5+0.5*(A64-(Inputs!B19+Inputs!B20))/Inputs!B39),0)</f>
        <v>985500</v>
      </c>
      <c r="E64" s="2">
        <f>IF(A64&gt;(Inputs!B19+Inputs!B20),D64*(Inputs!B25+Inputs!B27)+Inputs!B26/12,0)</f>
        <v>717678.3333</v>
      </c>
      <c r="F64" s="2">
        <f>IF(A64&gt;(Inputs!B19+Inputs!B20),Operations!B12/12*MIN(1,0.5+0.5*(A64-(Inputs!B19+Inputs!B20))/Inputs!B39),0)</f>
        <v>63750</v>
      </c>
      <c r="G64" s="2">
        <f>IF(A64&gt;(Inputs!B19+Inputs!B20),Inputs!B31/12,0)</f>
        <v>50000</v>
      </c>
      <c r="H64" s="2">
        <f t="shared" si="1"/>
        <v>281571.6667</v>
      </c>
      <c r="I64" s="2">
        <f>IF(A64&gt;(Inputs!B19+Inputs!B20),Funding!B3/12,0)</f>
        <v>1146608.921</v>
      </c>
      <c r="J64" s="2">
        <f t="shared" si="2"/>
        <v>3802944.583</v>
      </c>
      <c r="K64" s="2">
        <f t="shared" si="3"/>
        <v>-19129233.84</v>
      </c>
      <c r="L64" s="2"/>
    </row>
    <row r="65">
      <c r="A65" s="2">
        <v>63.0</v>
      </c>
      <c r="B65" s="2" t="str">
        <f>IF(A65&lt;=Inputs!B19,"Packaging / approvals",IF(A65&lt;=(Inputs!B19+Inputs!B20),"Construction","Operations"))</f>
        <v>Operations</v>
      </c>
      <c r="C65" s="2">
        <f>IF(A65&lt;=Inputs!B19,Cost!B14/Inputs!B19,IF(A65&lt;=(Inputs!B19+Inputs!B20),Cost!B13/Inputs!B20,0))+IF(A65&lt;=(Inputs!B19+Inputs!B20),Inputs!B21,0)+IF(A65=(Inputs!B19+Inputs!B20),Cost!B15,0)</f>
        <v>0</v>
      </c>
      <c r="D65" s="2">
        <f>IF(A65&gt;(Inputs!B19+Inputs!B20),Operations!B4/12*MIN(1,0.5+0.5*(A65-(Inputs!B19+Inputs!B20))/Inputs!B39),0)</f>
        <v>985500</v>
      </c>
      <c r="E65" s="2">
        <f>IF(A65&gt;(Inputs!B19+Inputs!B20),D65*(Inputs!B25+Inputs!B27)+Inputs!B26/12,0)</f>
        <v>717678.3333</v>
      </c>
      <c r="F65" s="2">
        <f>IF(A65&gt;(Inputs!B19+Inputs!B20),Operations!B12/12*MIN(1,0.5+0.5*(A65-(Inputs!B19+Inputs!B20))/Inputs!B39),0)</f>
        <v>63750</v>
      </c>
      <c r="G65" s="2">
        <f>IF(A65&gt;(Inputs!B19+Inputs!B20),Inputs!B31/12,0)</f>
        <v>50000</v>
      </c>
      <c r="H65" s="2">
        <f t="shared" si="1"/>
        <v>281571.6667</v>
      </c>
      <c r="I65" s="2">
        <f>IF(A65&gt;(Inputs!B19+Inputs!B20),Funding!B3/12,0)</f>
        <v>1146608.921</v>
      </c>
      <c r="J65" s="2">
        <f t="shared" si="2"/>
        <v>4084516.25</v>
      </c>
      <c r="K65" s="2">
        <f t="shared" si="3"/>
        <v>-19994271.09</v>
      </c>
      <c r="L65" s="2"/>
    </row>
    <row r="66">
      <c r="A66" s="2">
        <v>64.0</v>
      </c>
      <c r="B66" s="2" t="str">
        <f>IF(A66&lt;=Inputs!B19,"Packaging / approvals",IF(A66&lt;=(Inputs!B19+Inputs!B20),"Construction","Operations"))</f>
        <v>Operations</v>
      </c>
      <c r="C66" s="2">
        <f>IF(A66&lt;=Inputs!B19,Cost!B14/Inputs!B19,IF(A66&lt;=(Inputs!B19+Inputs!B20),Cost!B13/Inputs!B20,0))+IF(A66&lt;=(Inputs!B19+Inputs!B20),Inputs!B21,0)+IF(A66=(Inputs!B19+Inputs!B20),Cost!B15,0)</f>
        <v>0</v>
      </c>
      <c r="D66" s="2">
        <f>IF(A66&gt;(Inputs!B19+Inputs!B20),Operations!B4/12*MIN(1,0.5+0.5*(A66-(Inputs!B19+Inputs!B20))/Inputs!B39),0)</f>
        <v>985500</v>
      </c>
      <c r="E66" s="2">
        <f>IF(A66&gt;(Inputs!B19+Inputs!B20),D66*(Inputs!B25+Inputs!B27)+Inputs!B26/12,0)</f>
        <v>717678.3333</v>
      </c>
      <c r="F66" s="2">
        <f>IF(A66&gt;(Inputs!B19+Inputs!B20),Operations!B12/12*MIN(1,0.5+0.5*(A66-(Inputs!B19+Inputs!B20))/Inputs!B39),0)</f>
        <v>63750</v>
      </c>
      <c r="G66" s="2">
        <f>IF(A66&gt;(Inputs!B19+Inputs!B20),Inputs!B31/12,0)</f>
        <v>50000</v>
      </c>
      <c r="H66" s="2">
        <f t="shared" si="1"/>
        <v>281571.6667</v>
      </c>
      <c r="I66" s="2">
        <f>IF(A66&gt;(Inputs!B19+Inputs!B20),Funding!B3/12,0)</f>
        <v>1146608.921</v>
      </c>
      <c r="J66" s="2">
        <f t="shared" si="2"/>
        <v>4366087.917</v>
      </c>
      <c r="K66" s="2">
        <f t="shared" si="3"/>
        <v>-20859308.35</v>
      </c>
      <c r="L66" s="2"/>
    </row>
    <row r="67">
      <c r="A67" s="2">
        <v>65.0</v>
      </c>
      <c r="B67" s="2" t="str">
        <f>IF(A67&lt;=Inputs!B19,"Packaging / approvals",IF(A67&lt;=(Inputs!B19+Inputs!B20),"Construction","Operations"))</f>
        <v>Operations</v>
      </c>
      <c r="C67" s="2">
        <f>IF(A67&lt;=Inputs!B19,Cost!B14/Inputs!B19,IF(A67&lt;=(Inputs!B19+Inputs!B20),Cost!B13/Inputs!B20,0))+IF(A67&lt;=(Inputs!B19+Inputs!B20),Inputs!B21,0)+IF(A67=(Inputs!B19+Inputs!B20),Cost!B15,0)</f>
        <v>0</v>
      </c>
      <c r="D67" s="2">
        <f>IF(A67&gt;(Inputs!B19+Inputs!B20),Operations!B4/12*MIN(1,0.5+0.5*(A67-(Inputs!B19+Inputs!B20))/Inputs!B39),0)</f>
        <v>985500</v>
      </c>
      <c r="E67" s="2">
        <f>IF(A67&gt;(Inputs!B19+Inputs!B20),D67*(Inputs!B25+Inputs!B27)+Inputs!B26/12,0)</f>
        <v>717678.3333</v>
      </c>
      <c r="F67" s="2">
        <f>IF(A67&gt;(Inputs!B19+Inputs!B20),Operations!B12/12*MIN(1,0.5+0.5*(A67-(Inputs!B19+Inputs!B20))/Inputs!B39),0)</f>
        <v>63750</v>
      </c>
      <c r="G67" s="2">
        <f>IF(A67&gt;(Inputs!B19+Inputs!B20),Inputs!B31/12,0)</f>
        <v>50000</v>
      </c>
      <c r="H67" s="2">
        <f t="shared" si="1"/>
        <v>281571.6667</v>
      </c>
      <c r="I67" s="2">
        <f>IF(A67&gt;(Inputs!B19+Inputs!B20),Funding!B3/12,0)</f>
        <v>1146608.921</v>
      </c>
      <c r="J67" s="2">
        <f t="shared" si="2"/>
        <v>4647659.583</v>
      </c>
      <c r="K67" s="2">
        <f t="shared" si="3"/>
        <v>-21724345.6</v>
      </c>
      <c r="L67" s="2"/>
    </row>
    <row r="68">
      <c r="A68" s="2">
        <v>66.0</v>
      </c>
      <c r="B68" s="2" t="str">
        <f>IF(A68&lt;=Inputs!B19,"Packaging / approvals",IF(A68&lt;=(Inputs!B19+Inputs!B20),"Construction","Operations"))</f>
        <v>Operations</v>
      </c>
      <c r="C68" s="2">
        <f>IF(A68&lt;=Inputs!B19,Cost!B14/Inputs!B19,IF(A68&lt;=(Inputs!B19+Inputs!B20),Cost!B13/Inputs!B20,0))+IF(A68&lt;=(Inputs!B19+Inputs!B20),Inputs!B21,0)+IF(A68=(Inputs!B19+Inputs!B20),Cost!B15,0)</f>
        <v>0</v>
      </c>
      <c r="D68" s="2">
        <f>IF(A68&gt;(Inputs!B19+Inputs!B20),Operations!B4/12*MIN(1,0.5+0.5*(A68-(Inputs!B19+Inputs!B20))/Inputs!B39),0)</f>
        <v>985500</v>
      </c>
      <c r="E68" s="2">
        <f>IF(A68&gt;(Inputs!B19+Inputs!B20),D68*(Inputs!B25+Inputs!B27)+Inputs!B26/12,0)</f>
        <v>717678.3333</v>
      </c>
      <c r="F68" s="2">
        <f>IF(A68&gt;(Inputs!B19+Inputs!B20),Operations!B12/12*MIN(1,0.5+0.5*(A68-(Inputs!B19+Inputs!B20))/Inputs!B39),0)</f>
        <v>63750</v>
      </c>
      <c r="G68" s="2">
        <f>IF(A68&gt;(Inputs!B19+Inputs!B20),Inputs!B31/12,0)</f>
        <v>50000</v>
      </c>
      <c r="H68" s="2">
        <f t="shared" si="1"/>
        <v>281571.6667</v>
      </c>
      <c r="I68" s="2">
        <f>IF(A68&gt;(Inputs!B19+Inputs!B20),Funding!B3/12,0)</f>
        <v>1146608.921</v>
      </c>
      <c r="J68" s="2">
        <f t="shared" si="2"/>
        <v>4929231.25</v>
      </c>
      <c r="K68" s="2">
        <f t="shared" si="3"/>
        <v>-22589382.86</v>
      </c>
      <c r="L68" s="2"/>
    </row>
    <row r="69">
      <c r="A69" s="2">
        <v>67.0</v>
      </c>
      <c r="B69" s="2" t="str">
        <f>IF(A69&lt;=Inputs!B19,"Packaging / approvals",IF(A69&lt;=(Inputs!B19+Inputs!B20),"Construction","Operations"))</f>
        <v>Operations</v>
      </c>
      <c r="C69" s="2">
        <f>IF(A69&lt;=Inputs!B19,Cost!B14/Inputs!B19,IF(A69&lt;=(Inputs!B19+Inputs!B20),Cost!B13/Inputs!B20,0))+IF(A69&lt;=(Inputs!B19+Inputs!B20),Inputs!B21,0)+IF(A69=(Inputs!B19+Inputs!B20),Cost!B15,0)</f>
        <v>0</v>
      </c>
      <c r="D69" s="2">
        <f>IF(A69&gt;(Inputs!B19+Inputs!B20),Operations!B4/12*MIN(1,0.5+0.5*(A69-(Inputs!B19+Inputs!B20))/Inputs!B39),0)</f>
        <v>985500</v>
      </c>
      <c r="E69" s="2">
        <f>IF(A69&gt;(Inputs!B19+Inputs!B20),D69*(Inputs!B25+Inputs!B27)+Inputs!B26/12,0)</f>
        <v>717678.3333</v>
      </c>
      <c r="F69" s="2">
        <f>IF(A69&gt;(Inputs!B19+Inputs!B20),Operations!B12/12*MIN(1,0.5+0.5*(A69-(Inputs!B19+Inputs!B20))/Inputs!B39),0)</f>
        <v>63750</v>
      </c>
      <c r="G69" s="2">
        <f>IF(A69&gt;(Inputs!B19+Inputs!B20),Inputs!B31/12,0)</f>
        <v>50000</v>
      </c>
      <c r="H69" s="2">
        <f t="shared" si="1"/>
        <v>281571.6667</v>
      </c>
      <c r="I69" s="2">
        <f>IF(A69&gt;(Inputs!B19+Inputs!B20),Funding!B3/12,0)</f>
        <v>1146608.921</v>
      </c>
      <c r="J69" s="2">
        <f t="shared" si="2"/>
        <v>5210802.917</v>
      </c>
      <c r="K69" s="2">
        <f t="shared" si="3"/>
        <v>-23454420.11</v>
      </c>
      <c r="L69" s="2"/>
    </row>
    <row r="70">
      <c r="A70" s="2">
        <v>68.0</v>
      </c>
      <c r="B70" s="2" t="str">
        <f>IF(A70&lt;=Inputs!B19,"Packaging / approvals",IF(A70&lt;=(Inputs!B19+Inputs!B20),"Construction","Operations"))</f>
        <v>Operations</v>
      </c>
      <c r="C70" s="2">
        <f>IF(A70&lt;=Inputs!B19,Cost!B14/Inputs!B19,IF(A70&lt;=(Inputs!B19+Inputs!B20),Cost!B13/Inputs!B20,0))+IF(A70&lt;=(Inputs!B19+Inputs!B20),Inputs!B21,0)+IF(A70=(Inputs!B19+Inputs!B20),Cost!B15,0)</f>
        <v>0</v>
      </c>
      <c r="D70" s="2">
        <f>IF(A70&gt;(Inputs!B19+Inputs!B20),Operations!B4/12*MIN(1,0.5+0.5*(A70-(Inputs!B19+Inputs!B20))/Inputs!B39),0)</f>
        <v>985500</v>
      </c>
      <c r="E70" s="2">
        <f>IF(A70&gt;(Inputs!B19+Inputs!B20),D70*(Inputs!B25+Inputs!B27)+Inputs!B26/12,0)</f>
        <v>717678.3333</v>
      </c>
      <c r="F70" s="2">
        <f>IF(A70&gt;(Inputs!B19+Inputs!B20),Operations!B12/12*MIN(1,0.5+0.5*(A70-(Inputs!B19+Inputs!B20))/Inputs!B39),0)</f>
        <v>63750</v>
      </c>
      <c r="G70" s="2">
        <f>IF(A70&gt;(Inputs!B19+Inputs!B20),Inputs!B31/12,0)</f>
        <v>50000</v>
      </c>
      <c r="H70" s="2">
        <f t="shared" si="1"/>
        <v>281571.6667</v>
      </c>
      <c r="I70" s="2">
        <f>IF(A70&gt;(Inputs!B19+Inputs!B20),Funding!B3/12,0)</f>
        <v>1146608.921</v>
      </c>
      <c r="J70" s="2">
        <f t="shared" si="2"/>
        <v>5492374.583</v>
      </c>
      <c r="K70" s="2">
        <f t="shared" si="3"/>
        <v>-24319457.37</v>
      </c>
      <c r="L70" s="2"/>
    </row>
    <row r="71">
      <c r="A71" s="2">
        <v>69.0</v>
      </c>
      <c r="B71" s="2" t="str">
        <f>IF(A71&lt;=Inputs!B19,"Packaging / approvals",IF(A71&lt;=(Inputs!B19+Inputs!B20),"Construction","Operations"))</f>
        <v>Operations</v>
      </c>
      <c r="C71" s="2">
        <f>IF(A71&lt;=Inputs!B19,Cost!B14/Inputs!B19,IF(A71&lt;=(Inputs!B19+Inputs!B20),Cost!B13/Inputs!B20,0))+IF(A71&lt;=(Inputs!B19+Inputs!B20),Inputs!B21,0)+IF(A71=(Inputs!B19+Inputs!B20),Cost!B15,0)</f>
        <v>0</v>
      </c>
      <c r="D71" s="2">
        <f>IF(A71&gt;(Inputs!B19+Inputs!B20),Operations!B4/12*MIN(1,0.5+0.5*(A71-(Inputs!B19+Inputs!B20))/Inputs!B39),0)</f>
        <v>985500</v>
      </c>
      <c r="E71" s="2">
        <f>IF(A71&gt;(Inputs!B19+Inputs!B20),D71*(Inputs!B25+Inputs!B27)+Inputs!B26/12,0)</f>
        <v>717678.3333</v>
      </c>
      <c r="F71" s="2">
        <f>IF(A71&gt;(Inputs!B19+Inputs!B20),Operations!B12/12*MIN(1,0.5+0.5*(A71-(Inputs!B19+Inputs!B20))/Inputs!B39),0)</f>
        <v>63750</v>
      </c>
      <c r="G71" s="2">
        <f>IF(A71&gt;(Inputs!B19+Inputs!B20),Inputs!B31/12,0)</f>
        <v>50000</v>
      </c>
      <c r="H71" s="2">
        <f t="shared" si="1"/>
        <v>281571.6667</v>
      </c>
      <c r="I71" s="2">
        <f>IF(A71&gt;(Inputs!B19+Inputs!B20),Funding!B3/12,0)</f>
        <v>1146608.921</v>
      </c>
      <c r="J71" s="2">
        <f t="shared" si="2"/>
        <v>5773946.25</v>
      </c>
      <c r="K71" s="2">
        <f t="shared" si="3"/>
        <v>-25184494.62</v>
      </c>
      <c r="L71" s="2"/>
    </row>
    <row r="72">
      <c r="A72" s="2">
        <v>70.0</v>
      </c>
      <c r="B72" s="2" t="str">
        <f>IF(A72&lt;=Inputs!B19,"Packaging / approvals",IF(A72&lt;=(Inputs!B19+Inputs!B20),"Construction","Operations"))</f>
        <v>Operations</v>
      </c>
      <c r="C72" s="2">
        <f>IF(A72&lt;=Inputs!B19,Cost!B14/Inputs!B19,IF(A72&lt;=(Inputs!B19+Inputs!B20),Cost!B13/Inputs!B20,0))+IF(A72&lt;=(Inputs!B19+Inputs!B20),Inputs!B21,0)+IF(A72=(Inputs!B19+Inputs!B20),Cost!B15,0)</f>
        <v>0</v>
      </c>
      <c r="D72" s="2">
        <f>IF(A72&gt;(Inputs!B19+Inputs!B20),Operations!B4/12*MIN(1,0.5+0.5*(A72-(Inputs!B19+Inputs!B20))/Inputs!B39),0)</f>
        <v>985500</v>
      </c>
      <c r="E72" s="2">
        <f>IF(A72&gt;(Inputs!B19+Inputs!B20),D72*(Inputs!B25+Inputs!B27)+Inputs!B26/12,0)</f>
        <v>717678.3333</v>
      </c>
      <c r="F72" s="2">
        <f>IF(A72&gt;(Inputs!B19+Inputs!B20),Operations!B12/12*MIN(1,0.5+0.5*(A72-(Inputs!B19+Inputs!B20))/Inputs!B39),0)</f>
        <v>63750</v>
      </c>
      <c r="G72" s="2">
        <f>IF(A72&gt;(Inputs!B19+Inputs!B20),Inputs!B31/12,0)</f>
        <v>50000</v>
      </c>
      <c r="H72" s="2">
        <f t="shared" si="1"/>
        <v>281571.6667</v>
      </c>
      <c r="I72" s="2">
        <f>IF(A72&gt;(Inputs!B19+Inputs!B20),Funding!B3/12,0)</f>
        <v>1146608.921</v>
      </c>
      <c r="J72" s="2">
        <f t="shared" si="2"/>
        <v>6055517.917</v>
      </c>
      <c r="K72" s="2">
        <f t="shared" si="3"/>
        <v>-26049531.87</v>
      </c>
      <c r="L72" s="2"/>
    </row>
    <row r="73">
      <c r="A73" s="2">
        <v>71.0</v>
      </c>
      <c r="B73" s="2" t="str">
        <f>IF(A73&lt;=Inputs!B19,"Packaging / approvals",IF(A73&lt;=(Inputs!B19+Inputs!B20),"Construction","Operations"))</f>
        <v>Operations</v>
      </c>
      <c r="C73" s="2">
        <f>IF(A73&lt;=Inputs!B19,Cost!B14/Inputs!B19,IF(A73&lt;=(Inputs!B19+Inputs!B20),Cost!B13/Inputs!B20,0))+IF(A73&lt;=(Inputs!B19+Inputs!B20),Inputs!B21,0)+IF(A73=(Inputs!B19+Inputs!B20),Cost!B15,0)</f>
        <v>0</v>
      </c>
      <c r="D73" s="2">
        <f>IF(A73&gt;(Inputs!B19+Inputs!B20),Operations!B4/12*MIN(1,0.5+0.5*(A73-(Inputs!B19+Inputs!B20))/Inputs!B39),0)</f>
        <v>985500</v>
      </c>
      <c r="E73" s="2">
        <f>IF(A73&gt;(Inputs!B19+Inputs!B20),D73*(Inputs!B25+Inputs!B27)+Inputs!B26/12,0)</f>
        <v>717678.3333</v>
      </c>
      <c r="F73" s="2">
        <f>IF(A73&gt;(Inputs!B19+Inputs!B20),Operations!B12/12*MIN(1,0.5+0.5*(A73-(Inputs!B19+Inputs!B20))/Inputs!B39),0)</f>
        <v>63750</v>
      </c>
      <c r="G73" s="2">
        <f>IF(A73&gt;(Inputs!B19+Inputs!B20),Inputs!B31/12,0)</f>
        <v>50000</v>
      </c>
      <c r="H73" s="2">
        <f t="shared" si="1"/>
        <v>281571.6667</v>
      </c>
      <c r="I73" s="2">
        <f>IF(A73&gt;(Inputs!B19+Inputs!B20),Funding!B3/12,0)</f>
        <v>1146608.921</v>
      </c>
      <c r="J73" s="2">
        <f t="shared" si="2"/>
        <v>6337089.583</v>
      </c>
      <c r="K73" s="2">
        <f t="shared" si="3"/>
        <v>-26914569.13</v>
      </c>
      <c r="L73" s="2"/>
    </row>
    <row r="74">
      <c r="A74" s="2">
        <v>72.0</v>
      </c>
      <c r="B74" s="2" t="str">
        <f>IF(A74&lt;=Inputs!B19,"Packaging / approvals",IF(A74&lt;=(Inputs!B19+Inputs!B20),"Construction","Operations"))</f>
        <v>Operations</v>
      </c>
      <c r="C74" s="2">
        <f>IF(A74&lt;=Inputs!B19,Cost!B14/Inputs!B19,IF(A74&lt;=(Inputs!B19+Inputs!B20),Cost!B13/Inputs!B20,0))+IF(A74&lt;=(Inputs!B19+Inputs!B20),Inputs!B21,0)+IF(A74=(Inputs!B19+Inputs!B20),Cost!B15,0)</f>
        <v>0</v>
      </c>
      <c r="D74" s="2">
        <f>IF(A74&gt;(Inputs!B19+Inputs!B20),Operations!B4/12*MIN(1,0.5+0.5*(A74-(Inputs!B19+Inputs!B20))/Inputs!B39),0)</f>
        <v>985500</v>
      </c>
      <c r="E74" s="2">
        <f>IF(A74&gt;(Inputs!B19+Inputs!B20),D74*(Inputs!B25+Inputs!B27)+Inputs!B26/12,0)</f>
        <v>717678.3333</v>
      </c>
      <c r="F74" s="2">
        <f>IF(A74&gt;(Inputs!B19+Inputs!B20),Operations!B12/12*MIN(1,0.5+0.5*(A74-(Inputs!B19+Inputs!B20))/Inputs!B39),0)</f>
        <v>63750</v>
      </c>
      <c r="G74" s="2">
        <f>IF(A74&gt;(Inputs!B19+Inputs!B20),Inputs!B31/12,0)</f>
        <v>50000</v>
      </c>
      <c r="H74" s="2">
        <f t="shared" si="1"/>
        <v>281571.6667</v>
      </c>
      <c r="I74" s="2">
        <f>IF(A74&gt;(Inputs!B19+Inputs!B20),Funding!B3/12,0)</f>
        <v>1146608.921</v>
      </c>
      <c r="J74" s="2">
        <f t="shared" si="2"/>
        <v>6618661.25</v>
      </c>
      <c r="K74" s="2">
        <f t="shared" si="3"/>
        <v>-27779606.38</v>
      </c>
      <c r="L74" s="2"/>
    </row>
    <row r="75">
      <c r="A75" s="2">
        <v>73.0</v>
      </c>
      <c r="B75" s="2" t="str">
        <f>IF(A75&lt;=Inputs!B19,"Packaging / approvals",IF(A75&lt;=(Inputs!B19+Inputs!B20),"Construction","Operations"))</f>
        <v>Operations</v>
      </c>
      <c r="C75" s="2">
        <f>IF(A75&lt;=Inputs!B19,Cost!B14/Inputs!B19,IF(A75&lt;=(Inputs!B19+Inputs!B20),Cost!B13/Inputs!B20,0))+IF(A75&lt;=(Inputs!B19+Inputs!B20),Inputs!B21,0)+IF(A75=(Inputs!B19+Inputs!B20),Cost!B15,0)</f>
        <v>0</v>
      </c>
      <c r="D75" s="2">
        <f>IF(A75&gt;(Inputs!B19+Inputs!B20),Operations!B4/12*MIN(1,0.5+0.5*(A75-(Inputs!B19+Inputs!B20))/Inputs!B39),0)</f>
        <v>985500</v>
      </c>
      <c r="E75" s="2">
        <f>IF(A75&gt;(Inputs!B19+Inputs!B20),D75*(Inputs!B25+Inputs!B27)+Inputs!B26/12,0)</f>
        <v>717678.3333</v>
      </c>
      <c r="F75" s="2">
        <f>IF(A75&gt;(Inputs!B19+Inputs!B20),Operations!B12/12*MIN(1,0.5+0.5*(A75-(Inputs!B19+Inputs!B20))/Inputs!B39),0)</f>
        <v>63750</v>
      </c>
      <c r="G75" s="2">
        <f>IF(A75&gt;(Inputs!B19+Inputs!B20),Inputs!B31/12,0)</f>
        <v>50000</v>
      </c>
      <c r="H75" s="2">
        <f t="shared" si="1"/>
        <v>281571.6667</v>
      </c>
      <c r="I75" s="2">
        <f>IF(A75&gt;(Inputs!B19+Inputs!B20),Funding!B3/12,0)</f>
        <v>1146608.921</v>
      </c>
      <c r="J75" s="2">
        <f t="shared" si="2"/>
        <v>6900232.917</v>
      </c>
      <c r="K75" s="2">
        <f t="shared" si="3"/>
        <v>-28644643.64</v>
      </c>
      <c r="L75" s="2"/>
    </row>
    <row r="76">
      <c r="A76" s="2">
        <v>74.0</v>
      </c>
      <c r="B76" s="2" t="str">
        <f>IF(A76&lt;=Inputs!B19,"Packaging / approvals",IF(A76&lt;=(Inputs!B19+Inputs!B20),"Construction","Operations"))</f>
        <v>Operations</v>
      </c>
      <c r="C76" s="2">
        <f>IF(A76&lt;=Inputs!B19,Cost!B14/Inputs!B19,IF(A76&lt;=(Inputs!B19+Inputs!B20),Cost!B13/Inputs!B20,0))+IF(A76&lt;=(Inputs!B19+Inputs!B20),Inputs!B21,0)+IF(A76=(Inputs!B19+Inputs!B20),Cost!B15,0)</f>
        <v>0</v>
      </c>
      <c r="D76" s="2">
        <f>IF(A76&gt;(Inputs!B19+Inputs!B20),Operations!B4/12*MIN(1,0.5+0.5*(A76-(Inputs!B19+Inputs!B20))/Inputs!B39),0)</f>
        <v>985500</v>
      </c>
      <c r="E76" s="2">
        <f>IF(A76&gt;(Inputs!B19+Inputs!B20),D76*(Inputs!B25+Inputs!B27)+Inputs!B26/12,0)</f>
        <v>717678.3333</v>
      </c>
      <c r="F76" s="2">
        <f>IF(A76&gt;(Inputs!B19+Inputs!B20),Operations!B12/12*MIN(1,0.5+0.5*(A76-(Inputs!B19+Inputs!B20))/Inputs!B39),0)</f>
        <v>63750</v>
      </c>
      <c r="G76" s="2">
        <f>IF(A76&gt;(Inputs!B19+Inputs!B20),Inputs!B31/12,0)</f>
        <v>50000</v>
      </c>
      <c r="H76" s="2">
        <f t="shared" si="1"/>
        <v>281571.6667</v>
      </c>
      <c r="I76" s="2">
        <f>IF(A76&gt;(Inputs!B19+Inputs!B20),Funding!B3/12,0)</f>
        <v>1146608.921</v>
      </c>
      <c r="J76" s="2">
        <f t="shared" si="2"/>
        <v>7181804.583</v>
      </c>
      <c r="K76" s="2">
        <f t="shared" si="3"/>
        <v>-29509680.89</v>
      </c>
      <c r="L76" s="2"/>
    </row>
    <row r="77">
      <c r="A77" s="2">
        <v>75.0</v>
      </c>
      <c r="B77" s="2" t="str">
        <f>IF(A77&lt;=Inputs!B19,"Packaging / approvals",IF(A77&lt;=(Inputs!B19+Inputs!B20),"Construction","Operations"))</f>
        <v>Operations</v>
      </c>
      <c r="C77" s="2">
        <f>IF(A77&lt;=Inputs!B19,Cost!B14/Inputs!B19,IF(A77&lt;=(Inputs!B19+Inputs!B20),Cost!B13/Inputs!B20,0))+IF(A77&lt;=(Inputs!B19+Inputs!B20),Inputs!B21,0)+IF(A77=(Inputs!B19+Inputs!B20),Cost!B15,0)</f>
        <v>0</v>
      </c>
      <c r="D77" s="2">
        <f>IF(A77&gt;(Inputs!B19+Inputs!B20),Operations!B4/12*MIN(1,0.5+0.5*(A77-(Inputs!B19+Inputs!B20))/Inputs!B39),0)</f>
        <v>985500</v>
      </c>
      <c r="E77" s="2">
        <f>IF(A77&gt;(Inputs!B19+Inputs!B20),D77*(Inputs!B25+Inputs!B27)+Inputs!B26/12,0)</f>
        <v>717678.3333</v>
      </c>
      <c r="F77" s="2">
        <f>IF(A77&gt;(Inputs!B19+Inputs!B20),Operations!B12/12*MIN(1,0.5+0.5*(A77-(Inputs!B19+Inputs!B20))/Inputs!B39),0)</f>
        <v>63750</v>
      </c>
      <c r="G77" s="2">
        <f>IF(A77&gt;(Inputs!B19+Inputs!B20),Inputs!B31/12,0)</f>
        <v>50000</v>
      </c>
      <c r="H77" s="2">
        <f t="shared" si="1"/>
        <v>281571.6667</v>
      </c>
      <c r="I77" s="2">
        <f>IF(A77&gt;(Inputs!B19+Inputs!B20),Funding!B3/12,0)</f>
        <v>1146608.921</v>
      </c>
      <c r="J77" s="2">
        <f t="shared" si="2"/>
        <v>7463376.25</v>
      </c>
      <c r="K77" s="2">
        <f t="shared" si="3"/>
        <v>-30374718.15</v>
      </c>
      <c r="L77" s="2"/>
    </row>
    <row r="78">
      <c r="A78" s="2">
        <v>76.0</v>
      </c>
      <c r="B78" s="2" t="str">
        <f>IF(A78&lt;=Inputs!B19,"Packaging / approvals",IF(A78&lt;=(Inputs!B19+Inputs!B20),"Construction","Operations"))</f>
        <v>Operations</v>
      </c>
      <c r="C78" s="2">
        <f>IF(A78&lt;=Inputs!B19,Cost!B14/Inputs!B19,IF(A78&lt;=(Inputs!B19+Inputs!B20),Cost!B13/Inputs!B20,0))+IF(A78&lt;=(Inputs!B19+Inputs!B20),Inputs!B21,0)+IF(A78=(Inputs!B19+Inputs!B20),Cost!B15,0)</f>
        <v>0</v>
      </c>
      <c r="D78" s="2">
        <f>IF(A78&gt;(Inputs!B19+Inputs!B20),Operations!B4/12*MIN(1,0.5+0.5*(A78-(Inputs!B19+Inputs!B20))/Inputs!B39),0)</f>
        <v>985500</v>
      </c>
      <c r="E78" s="2">
        <f>IF(A78&gt;(Inputs!B19+Inputs!B20),D78*(Inputs!B25+Inputs!B27)+Inputs!B26/12,0)</f>
        <v>717678.3333</v>
      </c>
      <c r="F78" s="2">
        <f>IF(A78&gt;(Inputs!B19+Inputs!B20),Operations!B12/12*MIN(1,0.5+0.5*(A78-(Inputs!B19+Inputs!B20))/Inputs!B39),0)</f>
        <v>63750</v>
      </c>
      <c r="G78" s="2">
        <f>IF(A78&gt;(Inputs!B19+Inputs!B20),Inputs!B31/12,0)</f>
        <v>50000</v>
      </c>
      <c r="H78" s="2">
        <f t="shared" si="1"/>
        <v>281571.6667</v>
      </c>
      <c r="I78" s="2">
        <f>IF(A78&gt;(Inputs!B19+Inputs!B20),Funding!B3/12,0)</f>
        <v>1146608.921</v>
      </c>
      <c r="J78" s="2">
        <f t="shared" si="2"/>
        <v>7744947.917</v>
      </c>
      <c r="K78" s="2">
        <f t="shared" si="3"/>
        <v>-31239755.4</v>
      </c>
      <c r="L78" s="2"/>
    </row>
    <row r="79">
      <c r="A79" s="2">
        <v>77.0</v>
      </c>
      <c r="B79" s="2" t="str">
        <f>IF(A79&lt;=Inputs!B19,"Packaging / approvals",IF(A79&lt;=(Inputs!B19+Inputs!B20),"Construction","Operations"))</f>
        <v>Operations</v>
      </c>
      <c r="C79" s="2">
        <f>IF(A79&lt;=Inputs!B19,Cost!B14/Inputs!B19,IF(A79&lt;=(Inputs!B19+Inputs!B20),Cost!B13/Inputs!B20,0))+IF(A79&lt;=(Inputs!B19+Inputs!B20),Inputs!B21,0)+IF(A79=(Inputs!B19+Inputs!B20),Cost!B15,0)</f>
        <v>0</v>
      </c>
      <c r="D79" s="2">
        <f>IF(A79&gt;(Inputs!B19+Inputs!B20),Operations!B4/12*MIN(1,0.5+0.5*(A79-(Inputs!B19+Inputs!B20))/Inputs!B39),0)</f>
        <v>985500</v>
      </c>
      <c r="E79" s="2">
        <f>IF(A79&gt;(Inputs!B19+Inputs!B20),D79*(Inputs!B25+Inputs!B27)+Inputs!B26/12,0)</f>
        <v>717678.3333</v>
      </c>
      <c r="F79" s="2">
        <f>IF(A79&gt;(Inputs!B19+Inputs!B20),Operations!B12/12*MIN(1,0.5+0.5*(A79-(Inputs!B19+Inputs!B20))/Inputs!B39),0)</f>
        <v>63750</v>
      </c>
      <c r="G79" s="2">
        <f>IF(A79&gt;(Inputs!B19+Inputs!B20),Inputs!B31/12,0)</f>
        <v>50000</v>
      </c>
      <c r="H79" s="2">
        <f t="shared" si="1"/>
        <v>281571.6667</v>
      </c>
      <c r="I79" s="2">
        <f>IF(A79&gt;(Inputs!B19+Inputs!B20),Funding!B3/12,0)</f>
        <v>1146608.921</v>
      </c>
      <c r="J79" s="2">
        <f t="shared" si="2"/>
        <v>8026519.583</v>
      </c>
      <c r="K79" s="2">
        <f t="shared" si="3"/>
        <v>-32104792.65</v>
      </c>
      <c r="L79" s="2"/>
    </row>
    <row r="80">
      <c r="A80" s="2">
        <v>78.0</v>
      </c>
      <c r="B80" s="2" t="str">
        <f>IF(A80&lt;=Inputs!B19,"Packaging / approvals",IF(A80&lt;=(Inputs!B19+Inputs!B20),"Construction","Operations"))</f>
        <v>Operations</v>
      </c>
      <c r="C80" s="2">
        <f>IF(A80&lt;=Inputs!B19,Cost!B14/Inputs!B19,IF(A80&lt;=(Inputs!B19+Inputs!B20),Cost!B13/Inputs!B20,0))+IF(A80&lt;=(Inputs!B19+Inputs!B20),Inputs!B21,0)+IF(A80=(Inputs!B19+Inputs!B20),Cost!B15,0)</f>
        <v>0</v>
      </c>
      <c r="D80" s="2">
        <f>IF(A80&gt;(Inputs!B19+Inputs!B20),Operations!B4/12*MIN(1,0.5+0.5*(A80-(Inputs!B19+Inputs!B20))/Inputs!B39),0)</f>
        <v>985500</v>
      </c>
      <c r="E80" s="2">
        <f>IF(A80&gt;(Inputs!B19+Inputs!B20),D80*(Inputs!B25+Inputs!B27)+Inputs!B26/12,0)</f>
        <v>717678.3333</v>
      </c>
      <c r="F80" s="2">
        <f>IF(A80&gt;(Inputs!B19+Inputs!B20),Operations!B12/12*MIN(1,0.5+0.5*(A80-(Inputs!B19+Inputs!B20))/Inputs!B39),0)</f>
        <v>63750</v>
      </c>
      <c r="G80" s="2">
        <f>IF(A80&gt;(Inputs!B19+Inputs!B20),Inputs!B31/12,0)</f>
        <v>50000</v>
      </c>
      <c r="H80" s="2">
        <f t="shared" si="1"/>
        <v>281571.6667</v>
      </c>
      <c r="I80" s="2">
        <f>IF(A80&gt;(Inputs!B19+Inputs!B20),Funding!B3/12,0)</f>
        <v>1146608.921</v>
      </c>
      <c r="J80" s="2">
        <f t="shared" si="2"/>
        <v>8308091.25</v>
      </c>
      <c r="K80" s="2">
        <f t="shared" si="3"/>
        <v>-32969829.91</v>
      </c>
      <c r="L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88"/>
    <col customWidth="1" min="2" max="2" width="27.63"/>
    <col customWidth="1" min="3" max="10" width="31.38"/>
  </cols>
  <sheetData>
    <row r="1">
      <c r="A1" s="1" t="s">
        <v>305</v>
      </c>
      <c r="B1" s="1" t="s">
        <v>306</v>
      </c>
      <c r="C1" s="1" t="s">
        <v>307</v>
      </c>
      <c r="D1" s="1" t="s">
        <v>308</v>
      </c>
      <c r="E1" s="1" t="s">
        <v>146</v>
      </c>
      <c r="F1" s="1" t="s">
        <v>309</v>
      </c>
      <c r="G1" s="1" t="s">
        <v>310</v>
      </c>
      <c r="H1" s="1" t="s">
        <v>311</v>
      </c>
      <c r="I1" s="1" t="s">
        <v>312</v>
      </c>
      <c r="J1" s="1" t="s">
        <v>220</v>
      </c>
      <c r="K1" s="1"/>
      <c r="L1" s="1"/>
    </row>
    <row r="2">
      <c r="A2" s="2" t="s">
        <v>313</v>
      </c>
      <c r="B2" s="6">
        <v>0.3</v>
      </c>
      <c r="C2" s="2">
        <v>1200.0</v>
      </c>
      <c r="D2" s="2">
        <v>75.0</v>
      </c>
      <c r="E2" s="6">
        <v>0.7</v>
      </c>
      <c r="F2" s="2">
        <v>1.2</v>
      </c>
      <c r="G2" s="5">
        <f>Inputs!B2*365*B2*C2*(1+Inputs!B24 )*(1-Inputs!B25-Inputs!B27 )-Inputs!B26+Inputs!B4*D2*12*E2*(1-Inputs!B30 )-Inputs!B31</f>
        <v>-280108</v>
      </c>
      <c r="H2" s="6">
        <f>G2/(Cost!B17*F2)</f>
        <v>-0.00142690025</v>
      </c>
      <c r="I2" s="5">
        <f>MAX(0,G2)/Inputs!B33</f>
        <v>0</v>
      </c>
      <c r="J2" s="2" t="s">
        <v>314</v>
      </c>
      <c r="K2" s="2"/>
      <c r="L2" s="2"/>
    </row>
    <row r="3">
      <c r="A3" s="2" t="s">
        <v>315</v>
      </c>
      <c r="B3" s="6">
        <v>0.45</v>
      </c>
      <c r="C3" s="2">
        <v>1500.0</v>
      </c>
      <c r="D3" s="2">
        <v>100.0</v>
      </c>
      <c r="E3" s="6">
        <v>0.85</v>
      </c>
      <c r="F3" s="2">
        <v>1.0</v>
      </c>
      <c r="G3" s="5">
        <f>Inputs!B2*365*B3*C3*(1+Inputs!B24 )*(1-Inputs!B25-Inputs!B27 )-Inputs!B26+Inputs!B4*D3*12*E3*(1-Inputs!B30 )-Inputs!B31</f>
        <v>3378860</v>
      </c>
      <c r="H3" s="6">
        <f>G3/(Cost!B17*F3)</f>
        <v>0.02065473109</v>
      </c>
      <c r="I3" s="5">
        <f>MAX(0,G3)/Inputs!B33</f>
        <v>33788600</v>
      </c>
      <c r="J3" s="2" t="s">
        <v>316</v>
      </c>
      <c r="K3" s="2"/>
      <c r="L3" s="2"/>
    </row>
    <row r="4">
      <c r="A4" s="2" t="s">
        <v>317</v>
      </c>
      <c r="B4" s="6">
        <v>0.6</v>
      </c>
      <c r="C4" s="2">
        <v>1800.0</v>
      </c>
      <c r="D4" s="2">
        <v>125.0</v>
      </c>
      <c r="E4" s="6">
        <v>0.95</v>
      </c>
      <c r="F4" s="2">
        <v>0.9</v>
      </c>
      <c r="G4" s="5">
        <f>Inputs!B2*365*B4*C4*(1+Inputs!B24 )*(1-Inputs!B25-Inputs!B27 )-Inputs!B26+Inputs!B4*D4*12*E4*(1-Inputs!B30 )-Inputs!B31</f>
        <v>8010926</v>
      </c>
      <c r="H4" s="6">
        <f>G4/(Cost!B17*F4)</f>
        <v>0.05441135711</v>
      </c>
      <c r="I4" s="5">
        <f>MAX(0,G4)/Inputs!B33</f>
        <v>80109260</v>
      </c>
      <c r="J4" s="2" t="s">
        <v>318</v>
      </c>
      <c r="K4" s="2"/>
      <c r="L4" s="2"/>
    </row>
    <row r="5">
      <c r="A5" s="2" t="s">
        <v>319</v>
      </c>
      <c r="B5" s="6">
        <v>0.25</v>
      </c>
      <c r="C5" s="2">
        <v>1500.0</v>
      </c>
      <c r="D5" s="2">
        <v>100.0</v>
      </c>
      <c r="E5" s="6">
        <v>0.85</v>
      </c>
      <c r="F5" s="2">
        <v>1.0</v>
      </c>
      <c r="G5" s="5">
        <f>Inputs!B2*365*B5*C5*(1+Inputs!B24 )*(1-Inputs!B25-Inputs!B27 )-Inputs!B26+Inputs!B4*D5*12*E5*(1-Inputs!B30 )-Inputs!B31</f>
        <v>172700</v>
      </c>
      <c r="H5" s="6">
        <f>G5/(Cost!B17*F5)</f>
        <v>0.001055702828</v>
      </c>
      <c r="I5" s="5">
        <f>MAX(0,G5)/Inputs!B33</f>
        <v>1727000</v>
      </c>
      <c r="J5" s="2" t="s">
        <v>320</v>
      </c>
      <c r="K5" s="2"/>
      <c r="L5" s="2"/>
    </row>
    <row r="6">
      <c r="A6" s="2" t="s">
        <v>321</v>
      </c>
      <c r="B6" s="6">
        <v>0.45</v>
      </c>
      <c r="C6" s="2">
        <v>1500.0</v>
      </c>
      <c r="D6" s="2">
        <v>100.0</v>
      </c>
      <c r="E6" s="6">
        <v>0.85</v>
      </c>
      <c r="F6" s="2">
        <v>1.2</v>
      </c>
      <c r="G6" s="5">
        <f>Inputs!B2*365*B6*C6*(1+Inputs!B24 )*(1-Inputs!B25-Inputs!B27 )-Inputs!B26+Inputs!B4*D6*12*E6*(1-Inputs!B30 )-Inputs!B31</f>
        <v>3378860</v>
      </c>
      <c r="H6" s="6">
        <f>G6/(Cost!B17*F6)</f>
        <v>0.01721227591</v>
      </c>
      <c r="I6" s="5">
        <f>MAX(0,G6)/Inputs!B33</f>
        <v>33788600</v>
      </c>
      <c r="J6" s="2" t="s">
        <v>322</v>
      </c>
      <c r="K6" s="2"/>
      <c r="L6" s="2"/>
    </row>
    <row r="7">
      <c r="A7" s="2" t="s">
        <v>323</v>
      </c>
      <c r="B7" s="6">
        <v>0.45</v>
      </c>
      <c r="C7" s="2">
        <v>1500.0</v>
      </c>
      <c r="D7" s="2">
        <v>74.25742574257426</v>
      </c>
      <c r="E7" s="6">
        <v>0.85</v>
      </c>
      <c r="F7" s="2">
        <v>1.0</v>
      </c>
      <c r="G7" s="5">
        <f>Inputs!B2*365*B7*C7*(1+Inputs!B24 )*(1-Inputs!B25-Inputs!B27 )-Inputs!B26+Inputs!B4*D7*12*E7*(1-Inputs!B30 )-Inputs!B31</f>
        <v>3181929.307</v>
      </c>
      <c r="H7" s="6">
        <f>G7/(Cost!B17*F7)</f>
        <v>0.01945090775</v>
      </c>
      <c r="I7" s="5">
        <f>MAX(0,G7)/Inputs!B33</f>
        <v>31819293.07</v>
      </c>
      <c r="J7" s="2" t="s">
        <v>324</v>
      </c>
      <c r="K7" s="2"/>
      <c r="L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88"/>
    <col customWidth="1" min="2" max="2" width="27.63"/>
    <col customWidth="1" min="3" max="4" width="43.88"/>
  </cols>
  <sheetData>
    <row r="1">
      <c r="A1" s="1" t="s">
        <v>325</v>
      </c>
      <c r="B1" s="1" t="s">
        <v>326</v>
      </c>
      <c r="C1" s="1" t="s">
        <v>327</v>
      </c>
      <c r="D1" s="1" t="s">
        <v>328</v>
      </c>
      <c r="E1" s="1"/>
      <c r="F1" s="1"/>
      <c r="G1" s="1"/>
      <c r="H1" s="1"/>
      <c r="I1" s="1"/>
      <c r="J1" s="1"/>
      <c r="K1" s="1"/>
      <c r="L1" s="1"/>
    </row>
    <row r="2">
      <c r="A2" s="2" t="s">
        <v>329</v>
      </c>
      <c r="B2" s="2" t="s">
        <v>330</v>
      </c>
      <c r="C2" s="2" t="s">
        <v>331</v>
      </c>
      <c r="D2" s="2" t="s">
        <v>332</v>
      </c>
      <c r="E2" s="2"/>
      <c r="F2" s="2"/>
      <c r="G2" s="2"/>
      <c r="H2" s="2"/>
      <c r="I2" s="2"/>
      <c r="J2" s="2"/>
      <c r="K2" s="2"/>
      <c r="L2" s="2"/>
    </row>
    <row r="3">
      <c r="A3" s="2" t="s">
        <v>333</v>
      </c>
      <c r="B3" s="2" t="s">
        <v>334</v>
      </c>
      <c r="C3" s="2" t="s">
        <v>335</v>
      </c>
      <c r="D3" s="2" t="s">
        <v>336</v>
      </c>
      <c r="E3" s="2"/>
      <c r="F3" s="2"/>
      <c r="G3" s="2"/>
      <c r="H3" s="2"/>
      <c r="I3" s="2"/>
      <c r="J3" s="2"/>
      <c r="K3" s="2"/>
      <c r="L3" s="2"/>
    </row>
    <row r="4">
      <c r="A4" s="2" t="s">
        <v>337</v>
      </c>
      <c r="B4" s="2" t="s">
        <v>338</v>
      </c>
      <c r="C4" s="2" t="s">
        <v>339</v>
      </c>
      <c r="D4" s="2" t="s">
        <v>340</v>
      </c>
      <c r="E4" s="2"/>
      <c r="F4" s="2"/>
      <c r="G4" s="2"/>
      <c r="H4" s="2"/>
      <c r="I4" s="2"/>
      <c r="J4" s="2"/>
      <c r="K4" s="2"/>
      <c r="L4" s="2"/>
    </row>
    <row r="5">
      <c r="A5" s="2" t="s">
        <v>341</v>
      </c>
      <c r="B5" s="2" t="s">
        <v>342</v>
      </c>
      <c r="C5" s="2" t="s">
        <v>343</v>
      </c>
      <c r="D5" s="2" t="s">
        <v>344</v>
      </c>
      <c r="E5" s="2"/>
      <c r="F5" s="2"/>
      <c r="G5" s="2"/>
      <c r="H5" s="2"/>
      <c r="I5" s="2"/>
      <c r="J5" s="2"/>
      <c r="K5" s="2"/>
      <c r="L5" s="2"/>
    </row>
    <row r="6">
      <c r="A6" s="2" t="s">
        <v>345</v>
      </c>
      <c r="B6" s="2" t="s">
        <v>346</v>
      </c>
      <c r="C6" s="2" t="s">
        <v>347</v>
      </c>
      <c r="D6" s="2" t="s">
        <v>348</v>
      </c>
      <c r="E6" s="2"/>
      <c r="F6" s="2"/>
      <c r="G6" s="2"/>
      <c r="H6" s="2"/>
      <c r="I6" s="2"/>
      <c r="J6" s="2"/>
      <c r="K6" s="2"/>
      <c r="L6" s="2"/>
    </row>
    <row r="7">
      <c r="A7" s="2" t="s">
        <v>349</v>
      </c>
      <c r="B7" s="2" t="s">
        <v>350</v>
      </c>
      <c r="C7" s="2" t="s">
        <v>352</v>
      </c>
      <c r="D7" s="2" t="s">
        <v>353</v>
      </c>
      <c r="E7" s="2"/>
      <c r="F7" s="2"/>
      <c r="G7" s="2"/>
      <c r="H7" s="2"/>
      <c r="I7" s="2"/>
      <c r="J7" s="2"/>
      <c r="K7" s="2"/>
      <c r="L7" s="2"/>
    </row>
    <row r="8">
      <c r="A8" s="2" t="s">
        <v>357</v>
      </c>
      <c r="B8" s="2" t="s">
        <v>358</v>
      </c>
      <c r="C8" s="2" t="s">
        <v>359</v>
      </c>
      <c r="D8" s="2" t="s">
        <v>332</v>
      </c>
      <c r="E8" s="2"/>
      <c r="F8" s="2"/>
      <c r="G8" s="2"/>
      <c r="H8" s="2"/>
      <c r="I8" s="2"/>
      <c r="J8" s="2"/>
      <c r="K8" s="2"/>
      <c r="L8" s="2"/>
    </row>
    <row r="9">
      <c r="A9" s="2" t="s">
        <v>368</v>
      </c>
      <c r="B9" s="2" t="s">
        <v>369</v>
      </c>
      <c r="C9" s="2" t="s">
        <v>370</v>
      </c>
      <c r="D9" s="2" t="s">
        <v>371</v>
      </c>
      <c r="E9" s="2"/>
      <c r="F9" s="2"/>
      <c r="G9" s="2"/>
      <c r="H9" s="2"/>
      <c r="I9" s="2"/>
      <c r="J9" s="2"/>
      <c r="K9" s="2"/>
      <c r="L9" s="2"/>
    </row>
    <row r="10">
      <c r="A10" s="2" t="s">
        <v>376</v>
      </c>
      <c r="B10" s="2" t="s">
        <v>377</v>
      </c>
      <c r="C10" s="2" t="s">
        <v>378</v>
      </c>
      <c r="D10" s="2" t="s">
        <v>379</v>
      </c>
      <c r="E10" s="2"/>
      <c r="F10" s="2"/>
      <c r="G10" s="2"/>
      <c r="H10" s="2"/>
      <c r="I10" s="2"/>
      <c r="J10" s="2"/>
      <c r="K10" s="2"/>
      <c r="L10" s="2"/>
    </row>
    <row r="11">
      <c r="A11" s="2" t="s">
        <v>384</v>
      </c>
      <c r="B11" s="2" t="s">
        <v>386</v>
      </c>
      <c r="C11" s="2" t="s">
        <v>388</v>
      </c>
      <c r="D11" s="2" t="s">
        <v>390</v>
      </c>
      <c r="E11" s="2"/>
      <c r="F11" s="2"/>
      <c r="G11" s="2"/>
      <c r="H11" s="2"/>
      <c r="I11" s="2"/>
      <c r="J11" s="2"/>
      <c r="K11" s="2"/>
      <c r="L11" s="2"/>
    </row>
    <row r="12">
      <c r="A12" s="2" t="s">
        <v>392</v>
      </c>
      <c r="B12" s="2" t="s">
        <v>395</v>
      </c>
      <c r="C12" s="2" t="s">
        <v>397</v>
      </c>
      <c r="D12" s="2" t="s">
        <v>399</v>
      </c>
      <c r="E12" s="2"/>
      <c r="F12" s="2"/>
      <c r="G12" s="2"/>
      <c r="H12" s="2"/>
      <c r="I12" s="2"/>
      <c r="J12" s="2"/>
      <c r="K12" s="2"/>
      <c r="L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88"/>
    <col customWidth="1" min="2" max="2" width="27.63"/>
    <col customWidth="1" min="3" max="4" width="43.88"/>
  </cols>
  <sheetData>
    <row r="1">
      <c r="A1" s="1" t="s">
        <v>351</v>
      </c>
      <c r="B1" s="1" t="s">
        <v>354</v>
      </c>
      <c r="C1" s="1" t="s">
        <v>355</v>
      </c>
      <c r="D1" s="1" t="s">
        <v>356</v>
      </c>
      <c r="E1" s="1"/>
      <c r="F1" s="1"/>
      <c r="G1" s="1"/>
      <c r="H1" s="1"/>
      <c r="I1" s="1"/>
      <c r="J1" s="1"/>
      <c r="K1" s="1"/>
      <c r="L1" s="1"/>
    </row>
    <row r="2">
      <c r="A2" s="2" t="s">
        <v>360</v>
      </c>
      <c r="B2" s="2" t="s">
        <v>361</v>
      </c>
      <c r="C2" s="2" t="s">
        <v>362</v>
      </c>
      <c r="D2" s="2" t="s">
        <v>363</v>
      </c>
      <c r="E2" s="2"/>
      <c r="F2" s="2"/>
      <c r="G2" s="2"/>
      <c r="H2" s="2"/>
      <c r="I2" s="2"/>
      <c r="J2" s="2"/>
      <c r="K2" s="2"/>
      <c r="L2" s="2"/>
    </row>
    <row r="3">
      <c r="A3" s="2" t="s">
        <v>364</v>
      </c>
      <c r="B3" s="2" t="s">
        <v>365</v>
      </c>
      <c r="C3" s="2" t="s">
        <v>366</v>
      </c>
      <c r="D3" s="2" t="s">
        <v>367</v>
      </c>
      <c r="E3" s="2"/>
      <c r="F3" s="2"/>
      <c r="G3" s="2"/>
      <c r="H3" s="2"/>
      <c r="I3" s="2"/>
      <c r="J3" s="2"/>
      <c r="K3" s="2"/>
      <c r="L3" s="2"/>
    </row>
    <row r="4">
      <c r="A4" s="2" t="s">
        <v>372</v>
      </c>
      <c r="B4" s="2" t="s">
        <v>373</v>
      </c>
      <c r="C4" s="2" t="s">
        <v>374</v>
      </c>
      <c r="D4" s="2" t="s">
        <v>375</v>
      </c>
      <c r="E4" s="2"/>
      <c r="F4" s="2"/>
      <c r="G4" s="2"/>
      <c r="H4" s="2"/>
      <c r="I4" s="2"/>
      <c r="J4" s="2"/>
      <c r="K4" s="2"/>
      <c r="L4" s="2"/>
    </row>
    <row r="5">
      <c r="A5" s="2" t="s">
        <v>380</v>
      </c>
      <c r="B5" s="2" t="s">
        <v>381</v>
      </c>
      <c r="C5" s="2" t="s">
        <v>382</v>
      </c>
      <c r="D5" s="2" t="s">
        <v>383</v>
      </c>
      <c r="E5" s="2"/>
      <c r="F5" s="2"/>
      <c r="G5" s="2"/>
      <c r="H5" s="2"/>
      <c r="I5" s="2"/>
      <c r="J5" s="2"/>
      <c r="K5" s="2"/>
      <c r="L5" s="2"/>
    </row>
    <row r="6">
      <c r="A6" s="2" t="s">
        <v>385</v>
      </c>
      <c r="B6" s="2" t="s">
        <v>387</v>
      </c>
      <c r="C6" s="2" t="s">
        <v>389</v>
      </c>
      <c r="D6" s="2" t="s">
        <v>391</v>
      </c>
      <c r="E6" s="2"/>
      <c r="F6" s="2"/>
      <c r="G6" s="2"/>
      <c r="H6" s="2"/>
      <c r="I6" s="2"/>
      <c r="J6" s="2"/>
      <c r="K6" s="2"/>
      <c r="L6" s="2"/>
    </row>
    <row r="7">
      <c r="A7" s="2" t="s">
        <v>393</v>
      </c>
      <c r="B7" s="2" t="s">
        <v>394</v>
      </c>
      <c r="C7" s="2" t="s">
        <v>396</v>
      </c>
      <c r="D7" s="2" t="s">
        <v>398</v>
      </c>
      <c r="E7" s="2"/>
      <c r="F7" s="2"/>
      <c r="G7" s="2"/>
      <c r="H7" s="2"/>
      <c r="I7" s="2"/>
      <c r="J7" s="2"/>
      <c r="K7" s="2"/>
      <c r="L7" s="2"/>
    </row>
    <row r="8">
      <c r="A8" s="2" t="s">
        <v>400</v>
      </c>
      <c r="B8" s="2" t="s">
        <v>401</v>
      </c>
      <c r="C8" s="2" t="s">
        <v>402</v>
      </c>
      <c r="D8" s="2" t="s">
        <v>403</v>
      </c>
      <c r="E8" s="2"/>
      <c r="F8" s="2"/>
      <c r="G8" s="2"/>
      <c r="H8" s="2"/>
      <c r="I8" s="2"/>
      <c r="J8" s="2"/>
      <c r="K8" s="2"/>
      <c r="L8" s="2"/>
    </row>
    <row r="9">
      <c r="A9" s="2" t="s">
        <v>404</v>
      </c>
      <c r="B9" s="2" t="s">
        <v>405</v>
      </c>
      <c r="C9" s="2" t="s">
        <v>406</v>
      </c>
      <c r="D9" s="2" t="s">
        <v>407</v>
      </c>
      <c r="E9" s="2"/>
      <c r="F9" s="2"/>
      <c r="G9" s="2"/>
      <c r="H9" s="2"/>
      <c r="I9" s="2"/>
      <c r="J9" s="2"/>
      <c r="K9" s="2"/>
      <c r="L9" s="2"/>
    </row>
    <row r="10">
      <c r="A10" s="2" t="s">
        <v>408</v>
      </c>
      <c r="B10" s="2" t="s">
        <v>409</v>
      </c>
      <c r="C10" s="2" t="s">
        <v>410</v>
      </c>
      <c r="D10" s="2" t="s">
        <v>411</v>
      </c>
      <c r="E10" s="2"/>
      <c r="F10" s="2"/>
      <c r="G10" s="2"/>
      <c r="H10" s="2"/>
      <c r="I10" s="2"/>
      <c r="J10" s="2"/>
      <c r="K10" s="2"/>
      <c r="L10" s="2"/>
    </row>
    <row r="11">
      <c r="A11" s="2" t="s">
        <v>412</v>
      </c>
      <c r="B11" s="2" t="s">
        <v>413</v>
      </c>
      <c r="C11" s="2" t="s">
        <v>414</v>
      </c>
      <c r="D11" s="2" t="s">
        <v>415</v>
      </c>
      <c r="E11" s="2"/>
      <c r="F11" s="2"/>
      <c r="G11" s="2"/>
      <c r="H11" s="2"/>
      <c r="I11" s="2"/>
      <c r="J11" s="2"/>
      <c r="K11" s="2"/>
      <c r="L11" s="2"/>
    </row>
    <row r="12">
      <c r="A12" s="2" t="s">
        <v>416</v>
      </c>
      <c r="B12" s="2" t="s">
        <v>417</v>
      </c>
      <c r="C12" s="2" t="s">
        <v>418</v>
      </c>
      <c r="D12" s="2" t="s">
        <v>419</v>
      </c>
      <c r="E12" s="2"/>
      <c r="F12" s="2"/>
      <c r="G12" s="2"/>
      <c r="H12" s="2"/>
      <c r="I12" s="2"/>
      <c r="J12" s="2"/>
      <c r="K12" s="2"/>
      <c r="L12" s="2"/>
    </row>
    <row r="13">
      <c r="A13" s="2" t="s">
        <v>420</v>
      </c>
      <c r="B13" s="2" t="s">
        <v>421</v>
      </c>
      <c r="C13" s="2" t="s">
        <v>422</v>
      </c>
      <c r="D13" s="2" t="s">
        <v>423</v>
      </c>
      <c r="E13" s="2"/>
      <c r="F13" s="2"/>
      <c r="G13" s="2"/>
      <c r="H13" s="2"/>
      <c r="I13" s="2"/>
      <c r="J13" s="2"/>
      <c r="K13" s="2"/>
      <c r="L13" s="2"/>
    </row>
    <row r="14">
      <c r="A14" s="2" t="s">
        <v>424</v>
      </c>
      <c r="B14" s="2" t="s">
        <v>425</v>
      </c>
      <c r="C14" s="2" t="s">
        <v>426</v>
      </c>
      <c r="D14" s="2" t="s">
        <v>427</v>
      </c>
      <c r="E14" s="2"/>
      <c r="F14" s="2"/>
      <c r="G14" s="2"/>
      <c r="H14" s="2"/>
      <c r="I14" s="2"/>
      <c r="J14" s="2"/>
      <c r="K14" s="2"/>
      <c r="L14" s="2"/>
    </row>
    <row r="15">
      <c r="A15" s="2" t="s">
        <v>428</v>
      </c>
      <c r="B15" s="2" t="s">
        <v>429</v>
      </c>
      <c r="C15" s="2" t="s">
        <v>430</v>
      </c>
      <c r="D15" s="2" t="s">
        <v>431</v>
      </c>
      <c r="E15" s="2"/>
      <c r="F15" s="2"/>
      <c r="G15" s="2"/>
      <c r="H15" s="2"/>
      <c r="I15" s="2"/>
      <c r="J15" s="2"/>
      <c r="K15" s="2"/>
      <c r="L15" s="2"/>
    </row>
    <row r="16">
      <c r="A16" s="2" t="s">
        <v>432</v>
      </c>
      <c r="B16" s="2" t="s">
        <v>433</v>
      </c>
      <c r="C16" s="2" t="s">
        <v>434</v>
      </c>
      <c r="D16" s="2" t="s">
        <v>435</v>
      </c>
      <c r="E16" s="2"/>
      <c r="F16" s="2"/>
      <c r="G16" s="2"/>
      <c r="H16" s="2"/>
      <c r="I16" s="2"/>
      <c r="J16" s="2"/>
      <c r="K16" s="2"/>
      <c r="L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30.13"/>
  </cols>
  <sheetData>
    <row r="1">
      <c r="A1" s="10" t="s">
        <v>94</v>
      </c>
      <c r="B1" s="10" t="s">
        <v>436</v>
      </c>
      <c r="C1" s="10" t="s">
        <v>437</v>
      </c>
      <c r="D1" s="10" t="s">
        <v>438</v>
      </c>
      <c r="E1" s="10" t="s">
        <v>439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0">
        <v>18.0</v>
      </c>
      <c r="B2" s="10">
        <f>A2+Inputs!B20</f>
        <v>36</v>
      </c>
      <c r="C2" s="11">
        <f>Cost!B11*(1+Inputs!B18)^((A2+Inputs!B20/2)/12)+Cost!B14+Cost!B15+B2*Inputs!B21</f>
        <v>158751221.7</v>
      </c>
      <c r="D2" s="12">
        <f>Operations!B14/C2</f>
        <v>0.02128399369</v>
      </c>
      <c r="E2" s="10" t="s">
        <v>440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0">
        <v>24.0</v>
      </c>
      <c r="B3" s="10">
        <f>A3+Inputs!B20</f>
        <v>42</v>
      </c>
      <c r="C3" s="11">
        <f>Cost!B11*(1+Inputs!B18)^((A3+Inputs!B20/2)/12)+Cost!B14+Cost!B15+B3*Inputs!B21</f>
        <v>163587702.3</v>
      </c>
      <c r="D3" s="12">
        <f>Operations!B14/C3</f>
        <v>0.02065473109</v>
      </c>
      <c r="E3" s="10" t="s">
        <v>440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0">
        <v>48.0</v>
      </c>
      <c r="B4" s="10">
        <f>A4+Inputs!B20</f>
        <v>66</v>
      </c>
      <c r="C4" s="11">
        <f>Cost!B11*(1+Inputs!B18)^((A4+Inputs!B20/2)/12)+Cost!B14+Cost!B15+B4*Inputs!B21</f>
        <v>184314982.3</v>
      </c>
      <c r="D4" s="12">
        <f>Operations!B14/C4</f>
        <v>0.01833198776</v>
      </c>
      <c r="E4" s="10" t="s">
        <v>440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>
      <c r="A6" s="10" t="s">
        <v>441</v>
      </c>
      <c r="B6" s="10" t="s">
        <v>442</v>
      </c>
      <c r="C6" s="10" t="s">
        <v>443</v>
      </c>
      <c r="D6" s="10" t="s">
        <v>444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10">
        <v>0.0</v>
      </c>
      <c r="B7" s="11">
        <f>Cost!B17+A7</f>
        <v>163587702.3</v>
      </c>
      <c r="C7" s="12">
        <f>Operations!B14/B7</f>
        <v>0.02065473109</v>
      </c>
      <c r="D7" s="10" t="s">
        <v>445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10">
        <v>2.0E7</v>
      </c>
      <c r="B8" s="11">
        <f>Cost!B17+A8</f>
        <v>183587702.3</v>
      </c>
      <c r="C8" s="12">
        <f>Operations!B14/B8</f>
        <v>0.01840460966</v>
      </c>
      <c r="D8" s="10" t="s">
        <v>445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10">
        <v>4.0E7</v>
      </c>
      <c r="B9" s="11">
        <f>Cost!B17+A9</f>
        <v>203587702.3</v>
      </c>
      <c r="C9" s="12">
        <f>Operations!B14/B9</f>
        <v>0.01659658202</v>
      </c>
      <c r="D9" s="10" t="s">
        <v>445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drawing r:id="rId1"/>
</worksheet>
</file>